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dministration\Financial Compliance Team\Compliance Reviews\NIH Cap Review\Archived NIH Cap calculators\"/>
    </mc:Choice>
  </mc:AlternateContent>
  <xr:revisionPtr revIDLastSave="0" documentId="13_ncr:1_{E3179069-2CC3-44E5-B7A7-A0D1F30E9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ze by Dollars Charged" sheetId="3" r:id="rId1"/>
    <sheet name="Analyze by Effort Charged" sheetId="1" r:id="rId2"/>
    <sheet name="values" sheetId="2" state="hidden" r:id="rId3"/>
  </sheets>
  <definedNames>
    <definedName name="_xlnm._FilterDatabase" localSheetId="1" hidden="1">'Analyze by Effort Charged'!$E$9:$H$33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7" i="1"/>
  <c r="B1" i="1" l="1"/>
  <c r="B2" i="1"/>
  <c r="H1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<sst xmlns="http://schemas.openxmlformats.org/spreadsheetml/2006/main" count="114" uniqueCount="35">
  <si>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</si>
  <si>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</si>
  <si>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</si>
  <si>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</si>
  <si>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</si>
  <si>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</si>
  <si>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</si>
  <si>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</si>
  <si>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</si>
  <si>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</si>
  <si>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</si>
  <si>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</si>
  <si>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</si>
  <si>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</si>
  <si>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</si>
  <si>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</si>
  <si>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</si>
  <si>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</si>
  <si>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</si>
  <si>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</si>
  <si>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</si>
  <si>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</si>
  <si>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</si>
  <si>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</si>
  <si>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</si>
  <si>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</si>
  <si>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</si>
  <si>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</si>
  <si>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</si>
  <si>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</si>
  <si>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</si>
  <si>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NIH Fiscal Full-time Cap</t>
  </si>
  <si>
    <t>University of Arizona, Sponsored Projects &amp; Contracting Services</t>
  </si>
  <si>
    <t>Last update 2/16/22</t>
  </si>
  <si>
    <t>HHS/NIH Salary Cap and Cost Share Funding Worksheet for FY 2022, 1/1/2022 - 6/30/2022 effort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</si>
</sst>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H61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32</v>
      </c>
      <c r="H1" s="92" t="s">
        <v>33</v>
      </c>
    </row>
    <row r="2" spans="2:8" x14ac:dyDescent="0.25">
      <c r="B2" s="1" t="s">
        <v>34</v>
      </c>
    </row>
    <row r="3" spans="2:8" x14ac:dyDescent="0.25">
      <c r="B3" s="1"/>
    </row>
    <row r="4" spans="2:8" x14ac:dyDescent="0.25">
      <c r="B4" s="22" t="s">
        <v>5</v>
      </c>
    </row>
    <row r="5" spans="2:8" ht="15" customHeight="1" x14ac:dyDescent="0.25">
      <c r="B5" s="23" t="s">
        <v>28</v>
      </c>
      <c r="D5" s="4"/>
      <c r="E5" s="4"/>
      <c r="F5" s="4"/>
      <c r="G5" s="27"/>
      <c r="H5" s="27"/>
    </row>
    <row r="6" spans="2:8" s="7" customFormat="1" x14ac:dyDescent="0.25">
      <c r="B6" s="24" t="s">
        <v>17</v>
      </c>
      <c r="D6" s="5"/>
      <c r="E6" s="5"/>
      <c r="F6" s="5"/>
      <c r="G6" s="26"/>
      <c r="H6" s="26"/>
    </row>
    <row r="7" spans="2:8" s="7" customFormat="1" x14ac:dyDescent="0.25">
      <c r="B7" s="24" t="s">
        <v>29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18</v>
      </c>
      <c r="F9" s="39" t="s">
        <v>12</v>
      </c>
      <c r="G9" s="40" t="s">
        <v>19</v>
      </c>
      <c r="H9" s="78" t="s">
        <v>27</v>
      </c>
    </row>
    <row r="10" spans="2:8" x14ac:dyDescent="0.25">
      <c r="B10" s="93" t="s">
        <v>23</v>
      </c>
      <c r="C10" s="94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9.0918016691212567E-3</v>
      </c>
      <c r="H11" s="33">
        <f>(H10/$C$29)*($C$27-$C$29)</f>
        <v>2272.950417280314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4.9091801669121256E-2</v>
      </c>
      <c r="H12" s="31">
        <f>H10+H11</f>
        <v>12272.950417280314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24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26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21</v>
      </c>
      <c r="C24" s="91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0">
        <v>203700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20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22</v>
      </c>
      <c r="C29" s="75">
        <f>C25*(IF(C12="F",1,0.75))*C13</f>
        <v>203700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30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16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G10:H33 C27:C32" xr:uid="{00000000-0002-0000-0000-000000000000}">
      <formula1>1</formula1>
    </dataValidation>
    <dataValidation type="whole" operator="equal" allowBlank="1" showInputMessage="1" showErrorMessage="1" error="Please do not edit these fields_x000a_" sqref="C25" xr:uid="{00000000-0002-0000-0000-000001000000}">
      <formula1>203700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000-000002000000}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  <pageSetUpPr fitToPage="1"/>
  </sheetPr>
  <dimension ref="B1:I47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tr">
        <f>'Analyze by Dollars Charged'!B1</f>
        <v>University of Arizona, Sponsored Projects &amp; Contracting Services</v>
      </c>
      <c r="H1" s="92" t="str">
        <f>'Analyze by Dollars Charged'!H1</f>
        <v>Last update 2/16/22</v>
      </c>
    </row>
    <row r="2" spans="2:9" x14ac:dyDescent="0.25">
      <c r="B2" s="1" t="str">
        <f>'Analyze by Dollars Charged'!B2</f>
        <v>HHS/NIH Salary Cap and Cost Share Funding Worksheet for FY 2022, 1/1/2022 - 6/30/2022 effort period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28</v>
      </c>
      <c r="D5" s="4"/>
      <c r="E5" s="4"/>
      <c r="F5" s="4"/>
      <c r="G5" s="27"/>
      <c r="H5" s="27"/>
    </row>
    <row r="6" spans="2:9" s="7" customFormat="1" x14ac:dyDescent="0.25">
      <c r="B6" s="24" t="s">
        <v>17</v>
      </c>
      <c r="D6" s="5"/>
      <c r="E6" s="5"/>
      <c r="F6" s="5"/>
      <c r="G6" s="26"/>
      <c r="H6" s="26"/>
    </row>
    <row r="7" spans="2:9" s="7" customFormat="1" x14ac:dyDescent="0.25">
      <c r="B7" s="24" t="s">
        <v>29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18</v>
      </c>
      <c r="F9" s="39" t="s">
        <v>12</v>
      </c>
      <c r="G9" s="40" t="s">
        <v>19</v>
      </c>
      <c r="H9" s="78" t="s">
        <v>27</v>
      </c>
    </row>
    <row r="10" spans="2:9" x14ac:dyDescent="0.25">
      <c r="B10" s="93" t="s">
        <v>23</v>
      </c>
      <c r="C10" s="94"/>
      <c r="E10" s="20" t="str">
        <f>B15</f>
        <v>Sample Account Number #1</v>
      </c>
      <c r="F10" s="15" t="s">
        <v>7</v>
      </c>
      <c r="G10" s="28">
        <f>H10/$C$27</f>
        <v>6.1109999999999998E-2</v>
      </c>
      <c r="H10" s="29">
        <f>$C$15*$C$29</f>
        <v>15277.5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3.8890000000000001E-2</v>
      </c>
      <c r="H11" s="29">
        <f>($C$15*$C$27)-H10</f>
        <v>9722.5</v>
      </c>
    </row>
    <row r="12" spans="2:9" x14ac:dyDescent="0.25">
      <c r="B12" s="16" t="s">
        <v>14</v>
      </c>
      <c r="C12" s="51" t="s">
        <v>0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79" t="s">
        <v>7</v>
      </c>
      <c r="G13" s="80">
        <f>H13/$C$27</f>
        <v>0</v>
      </c>
      <c r="H13" s="81">
        <f>$C$16*$C$29</f>
        <v>0</v>
      </c>
    </row>
    <row r="14" spans="2:9" ht="15.75" thickBot="1" x14ac:dyDescent="0.3">
      <c r="B14" s="16" t="s">
        <v>25</v>
      </c>
      <c r="C14" s="17"/>
      <c r="E14" s="60"/>
      <c r="F14" s="79" t="s">
        <v>8</v>
      </c>
      <c r="G14" s="80">
        <f>H14/$C$27</f>
        <v>0</v>
      </c>
      <c r="H14" s="81">
        <f>($C$16*$C$27)-H13</f>
        <v>0</v>
      </c>
    </row>
    <row r="15" spans="2:9" x14ac:dyDescent="0.25">
      <c r="B15" s="45" t="s">
        <v>26</v>
      </c>
      <c r="C15" s="53">
        <v>0.1</v>
      </c>
      <c r="E15" s="65"/>
      <c r="F15" s="85" t="s">
        <v>9</v>
      </c>
      <c r="G15" s="83">
        <f>G13+G14</f>
        <v>0</v>
      </c>
      <c r="H15" s="84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79" t="s">
        <v>7</v>
      </c>
      <c r="G19" s="80">
        <f>H19/$C$27</f>
        <v>0</v>
      </c>
      <c r="H19" s="81">
        <f>$C$18*$C$29</f>
        <v>0</v>
      </c>
    </row>
    <row r="20" spans="2:8" x14ac:dyDescent="0.25">
      <c r="B20" s="47" t="s">
        <v>6</v>
      </c>
      <c r="C20" s="54">
        <v>0</v>
      </c>
      <c r="E20" s="60"/>
      <c r="F20" s="79" t="s">
        <v>8</v>
      </c>
      <c r="G20" s="80">
        <f>H20/$C$27</f>
        <v>0</v>
      </c>
      <c r="H20" s="81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5" t="s">
        <v>9</v>
      </c>
      <c r="G21" s="83">
        <f>G19+G20</f>
        <v>0</v>
      </c>
      <c r="H21" s="84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21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0">
        <v>203700</v>
      </c>
      <c r="E25" s="60" t="str">
        <f>B20</f>
        <v>-</v>
      </c>
      <c r="F25" s="79" t="s">
        <v>7</v>
      </c>
      <c r="G25" s="80">
        <f>H25/$C$27</f>
        <v>0</v>
      </c>
      <c r="H25" s="81">
        <f>$C$20*$C$29</f>
        <v>0</v>
      </c>
    </row>
    <row r="26" spans="2:8" x14ac:dyDescent="0.25">
      <c r="B26" s="77"/>
      <c r="C26" s="73"/>
      <c r="E26" s="60"/>
      <c r="F26" s="79" t="s">
        <v>8</v>
      </c>
      <c r="G26" s="80">
        <f>H26/$C$27</f>
        <v>0</v>
      </c>
      <c r="H26" s="81">
        <f>($C$20*$C$27)-H25</f>
        <v>0</v>
      </c>
    </row>
    <row r="27" spans="2:8" x14ac:dyDescent="0.25">
      <c r="B27" s="10" t="s">
        <v>20</v>
      </c>
      <c r="C27" s="13">
        <f>C11*C13</f>
        <v>250000</v>
      </c>
      <c r="E27" s="65"/>
      <c r="F27" s="85" t="s">
        <v>9</v>
      </c>
      <c r="G27" s="83">
        <f>G25+G26</f>
        <v>0</v>
      </c>
      <c r="H27" s="84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22</v>
      </c>
      <c r="C29" s="75">
        <f>C25*(IF(C12="F",1,0.75))*C13</f>
        <v>152775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8"/>
      <c r="C30" s="89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8"/>
      <c r="C31" s="89"/>
      <c r="E31" s="60" t="str">
        <f>B22</f>
        <v>-</v>
      </c>
      <c r="F31" s="79" t="s">
        <v>7</v>
      </c>
      <c r="G31" s="80">
        <f>H31/$C$27</f>
        <v>0</v>
      </c>
      <c r="H31" s="81">
        <f>$C$22*$C$29</f>
        <v>0</v>
      </c>
    </row>
    <row r="32" spans="2:8" x14ac:dyDescent="0.25">
      <c r="B32" s="12"/>
      <c r="C32" s="37"/>
      <c r="E32" s="60"/>
      <c r="F32" s="79" t="s">
        <v>8</v>
      </c>
      <c r="G32" s="80">
        <f>H32/$C$27</f>
        <v>0</v>
      </c>
      <c r="H32" s="81">
        <f>($C$22*$C$27)-H31</f>
        <v>0</v>
      </c>
    </row>
    <row r="33" spans="2:8" ht="15.75" thickBot="1" x14ac:dyDescent="0.3">
      <c r="B33" s="12"/>
      <c r="C33" s="37"/>
      <c r="E33" s="69"/>
      <c r="F33" s="82" t="s">
        <v>9</v>
      </c>
      <c r="G33" s="86">
        <f>G31+G32</f>
        <v>0</v>
      </c>
      <c r="H33" s="87">
        <f>H31+H32</f>
        <v>0</v>
      </c>
    </row>
    <row r="34" spans="2:8" x14ac:dyDescent="0.25">
      <c r="B34" s="88"/>
      <c r="C34" s="89"/>
      <c r="E34" s="21"/>
    </row>
    <row r="35" spans="2:8" x14ac:dyDescent="0.25">
      <c r="B35" s="88"/>
      <c r="C35" s="89"/>
    </row>
    <row r="36" spans="2:8" x14ac:dyDescent="0.25">
      <c r="B36" s="1" t="s">
        <v>4</v>
      </c>
    </row>
    <row r="37" spans="2:8" ht="15" customHeight="1" x14ac:dyDescent="0.25">
      <c r="B37" s="95" t="str">
        <f>'Analyze by Dollars Charged'!B37:H39</f>
        <v>Institutional Base Pay: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tr">
        <f>'Analyze by Dollars Charged'!B40</f>
        <v>Appointments: Fiscal is a 12 month appointment. Academic is a 9 months appointment. An Academic paid over 12 months should still be entered as Academic.</v>
      </c>
    </row>
    <row r="41" spans="2:8" x14ac:dyDescent="0.25">
      <c r="B41" s="5" t="str">
        <f>'Analyze by Dollars Charged'!B41</f>
        <v>FTE: Stands for full-time equivalency. A full time person is 1.0 FTE. A half time person is .50 FTE.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 xr:uid="{00000000-0002-0000-0100-000000000000}">
      <formula1>1</formula1>
    </dataValidation>
    <dataValidation type="whole" operator="equal" allowBlank="1" showInputMessage="1" showErrorMessage="1" error="Please do not edit these fields_x000a_" sqref="C25" xr:uid="{00000000-0002-0000-0100-000001000000}">
      <formula1>203700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100-000002000000}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7E3B64930052439F356FDAFC6693FE" ma:contentTypeVersion="12" ma:contentTypeDescription="Create a new document." ma:contentTypeScope="" ma:versionID="1eaf1082e863dfecf0e3ec9b33cbc1c5">
  <xsd:schema xmlns:xsd="http://www.w3.org/2001/XMLSchema" xmlns:xs="http://www.w3.org/2001/XMLSchema" xmlns:p="http://schemas.microsoft.com/office/2006/metadata/properties" xmlns:ns1="http://schemas.microsoft.com/sharepoint/v3" xmlns:ns3="a4a1131a-585c-4822-a6ee-5658b632d6e1" targetNamespace="http://schemas.microsoft.com/office/2006/metadata/properties" ma:root="true" ma:fieldsID="acead6add3f32765d381af9da34223bc" ns1:_="" ns3:_="">
    <xsd:import namespace="http://schemas.microsoft.com/sharepoint/v3"/>
    <xsd:import namespace="a4a1131a-585c-4822-a6ee-5658b632d6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1131a-585c-4822-a6ee-5658b632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E39636-03D3-441C-8CD0-12124E4360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3FFFB-4165-42D8-9C47-28FEF32A0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a1131a-585c-4822-a6ee-5658b632d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2F505B-A37C-4D59-8080-D2CD8BF527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Analyze by Dollars Charged</vt:lpstr>
      <vt:lpstr>Analyze by Effort Charged</vt:lpstr>
      <vt:lpstr>values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Tabatha Holan</cp:lastModifiedBy>
  <cp:lastPrinted>2016-01-05T15:56:37Z</cp:lastPrinted>
  <dcterms:created xsi:type="dcterms:W3CDTF">2012-10-15T16:55:35Z</dcterms:created>
  <dcterms:modified xsi:type="dcterms:W3CDTF">2022-02-17T16:39:12Z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0x010100317E3B64930052439F356FDAFC6693FE</vt:lpwstr>
  </property>
</Properties>
</file>