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emailarizona-my.sharepoint.com/personal/sarmstro_arizona_edu/Documents/Desktop/"/>
    </mc:Choice>
  </mc:AlternateContent>
  <xr:revisionPtr revIDLastSave="801" documentId="8_{3F25D420-E3D1-48C4-A8B9-5605E1DB6EF8}" xr6:coauthVersionLast="47" xr6:coauthVersionMax="47" xr10:uidLastSave="{23690C57-430F-4A43-99ED-800A4FF1C423}"/>
  <bookViews>
    <workbookView xWindow="28680" yWindow="-45" windowWidth="29040" windowHeight="15720" tabRatio="786" xr2:uid="{00000000-000D-0000-FFFF-FFFF00000000}"/>
  </bookViews>
  <sheets>
    <sheet name="Budget" sheetId="1" r:id="rId1"/>
    <sheet name="Travel" sheetId="5" r:id="rId2"/>
    <sheet name="Participant Support" sheetId="12" r:id="rId3"/>
    <sheet name="Other Costs" sheetId="7" r:id="rId4"/>
    <sheet name="Cost Share" sheetId="16" r:id="rId5"/>
    <sheet name="Subaward 1" sheetId="9" r:id="rId6"/>
    <sheet name="Subaward 2" sheetId="10" r:id="rId7"/>
    <sheet name="Subaward 3" sheetId="11" r:id="rId8"/>
    <sheet name="Subaward 4" sheetId="13" r:id="rId9"/>
    <sheet name="Subaward 5" sheetId="14" r:id="rId10"/>
  </sheets>
  <definedNames>
    <definedName name="_xlnm.Print_Area" localSheetId="0">Budget!$A$1:$G$196</definedName>
    <definedName name="_xlnm.Print_Area" localSheetId="5">'Subaward 1'!$A$1:$G$131</definedName>
    <definedName name="_xlnm.Print_Area" localSheetId="6">'Subaward 2'!$A$1:$G$129</definedName>
    <definedName name="_xlnm.Print_Area" localSheetId="7">'Subaward 3'!$A$1:$G$129</definedName>
    <definedName name="_xlnm.Print_Area" localSheetId="8">'Subaward 4'!$A$1:$G$129</definedName>
    <definedName name="_xlnm.Print_Area" localSheetId="9">'Subaward 5'!$A$1:$G$129</definedName>
    <definedName name="solver_eng" localSheetId="0" hidden="1">1</definedName>
    <definedName name="solver_eng" localSheetId="5" hidden="1">1</definedName>
    <definedName name="solver_eng" localSheetId="6" hidden="1">1</definedName>
    <definedName name="solver_eng" localSheetId="7" hidden="1">1</definedName>
    <definedName name="solver_eng" localSheetId="8" hidden="1">1</definedName>
    <definedName name="solver_eng" localSheetId="9" hidden="1">1</definedName>
    <definedName name="solver_neg" localSheetId="0" hidden="1">1</definedName>
    <definedName name="solver_neg" localSheetId="5" hidden="1">1</definedName>
    <definedName name="solver_neg" localSheetId="6" hidden="1">1</definedName>
    <definedName name="solver_neg" localSheetId="7" hidden="1">1</definedName>
    <definedName name="solver_neg" localSheetId="8" hidden="1">1</definedName>
    <definedName name="solver_neg" localSheetId="9" hidden="1">1</definedName>
    <definedName name="solver_num" localSheetId="0" hidden="1">0</definedName>
    <definedName name="solver_num" localSheetId="5" hidden="1">0</definedName>
    <definedName name="solver_num" localSheetId="6" hidden="1">0</definedName>
    <definedName name="solver_num" localSheetId="7" hidden="1">0</definedName>
    <definedName name="solver_num" localSheetId="8" hidden="1">0</definedName>
    <definedName name="solver_num" localSheetId="9" hidden="1">0</definedName>
    <definedName name="solver_opt" localSheetId="0" hidden="1">Budget!$X$16</definedName>
    <definedName name="solver_opt" localSheetId="5" hidden="1">'Subaward 1'!$W$19</definedName>
    <definedName name="solver_opt" localSheetId="6" hidden="1">'Subaward 2'!$U$15</definedName>
    <definedName name="solver_opt" localSheetId="7" hidden="1">'Subaward 3'!$U$15</definedName>
    <definedName name="solver_opt" localSheetId="8" hidden="1">'Subaward 4'!$U$15</definedName>
    <definedName name="solver_opt" localSheetId="9" hidden="1">'Subaward 5'!$U$15</definedName>
    <definedName name="solver_typ" localSheetId="0" hidden="1">3</definedName>
    <definedName name="solver_typ" localSheetId="5" hidden="1">3</definedName>
    <definedName name="solver_typ" localSheetId="6" hidden="1">3</definedName>
    <definedName name="solver_typ" localSheetId="7" hidden="1">3</definedName>
    <definedName name="solver_typ" localSheetId="8" hidden="1">3</definedName>
    <definedName name="solver_typ" localSheetId="9" hidden="1">3</definedName>
    <definedName name="solver_val" localSheetId="0" hidden="1">185100</definedName>
    <definedName name="solver_val" localSheetId="5" hidden="1">185100</definedName>
    <definedName name="solver_val" localSheetId="6" hidden="1">185100</definedName>
    <definedName name="solver_val" localSheetId="7" hidden="1">185100</definedName>
    <definedName name="solver_val" localSheetId="8" hidden="1">185100</definedName>
    <definedName name="solver_val" localSheetId="9" hidden="1">185100</definedName>
    <definedName name="solver_ver" localSheetId="0" hidden="1">3</definedName>
    <definedName name="solver_ver" localSheetId="5" hidden="1">3</definedName>
    <definedName name="solver_ver" localSheetId="6" hidden="1">3</definedName>
    <definedName name="solver_ver" localSheetId="7" hidden="1">3</definedName>
    <definedName name="solver_ver" localSheetId="8" hidden="1">3</definedName>
    <definedName name="solver_ver" localSheetId="9"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6" l="1"/>
  <c r="V3" i="16"/>
  <c r="O6" i="16"/>
  <c r="B142" i="1"/>
  <c r="K178" i="1" l="1"/>
  <c r="A178" i="1" s="1"/>
  <c r="B184" i="1"/>
  <c r="A117" i="1"/>
  <c r="O78" i="16" l="1"/>
  <c r="O75" i="16"/>
  <c r="O72" i="16"/>
  <c r="O69" i="16"/>
  <c r="O70" i="1"/>
  <c r="O74" i="1"/>
  <c r="O78" i="1"/>
  <c r="J99" i="16"/>
  <c r="J103" i="16"/>
  <c r="J107" i="16"/>
  <c r="O96" i="16"/>
  <c r="O95" i="16"/>
  <c r="O94" i="16"/>
  <c r="O90" i="16"/>
  <c r="O89" i="16"/>
  <c r="O88" i="16"/>
  <c r="O84" i="16"/>
  <c r="O83" i="16"/>
  <c r="O82" i="16"/>
  <c r="O100" i="1"/>
  <c r="B100" i="1" s="1"/>
  <c r="O99" i="1"/>
  <c r="O98" i="1"/>
  <c r="O94" i="1"/>
  <c r="B94" i="1" s="1"/>
  <c r="O93" i="1"/>
  <c r="O92" i="1"/>
  <c r="O88" i="1"/>
  <c r="B88" i="1" s="1"/>
  <c r="O86" i="1"/>
  <c r="O87" i="1"/>
  <c r="J80" i="16"/>
  <c r="U57" i="16"/>
  <c r="G162" i="16"/>
  <c r="J117" i="16"/>
  <c r="V109" i="16" s="1"/>
  <c r="J116" i="16"/>
  <c r="V85" i="16" s="1"/>
  <c r="J114" i="16"/>
  <c r="J113" i="16"/>
  <c r="V101" i="16" l="1"/>
  <c r="V105" i="16"/>
  <c r="V79" i="16"/>
  <c r="V76" i="16"/>
  <c r="V73" i="16"/>
  <c r="V70" i="16"/>
  <c r="V97" i="16"/>
  <c r="V91" i="16"/>
  <c r="A63" i="16"/>
  <c r="A58" i="16"/>
  <c r="A53" i="16"/>
  <c r="U3" i="1"/>
  <c r="O3" i="9"/>
  <c r="J3" i="9"/>
  <c r="V113" i="1" l="1"/>
  <c r="V109" i="1"/>
  <c r="V105" i="1"/>
  <c r="V101" i="1"/>
  <c r="V95" i="1"/>
  <c r="V89" i="1"/>
  <c r="V11" i="9" l="1"/>
  <c r="J103" i="1"/>
  <c r="O51" i="16"/>
  <c r="O46" i="16"/>
  <c r="O41" i="16"/>
  <c r="O36" i="16"/>
  <c r="O31" i="16"/>
  <c r="O26" i="16"/>
  <c r="O21" i="16"/>
  <c r="O16" i="16"/>
  <c r="O11" i="16"/>
  <c r="O66" i="1"/>
  <c r="O61" i="1"/>
  <c r="O56" i="1"/>
  <c r="O51" i="1"/>
  <c r="O46" i="1"/>
  <c r="O41" i="1"/>
  <c r="O36" i="1"/>
  <c r="O31" i="1"/>
  <c r="O26" i="1"/>
  <c r="O21" i="1"/>
  <c r="O16" i="1"/>
  <c r="O11" i="1"/>
  <c r="U3" i="16"/>
  <c r="U4" i="16"/>
  <c r="V83" i="1" l="1"/>
  <c r="V79" i="1"/>
  <c r="V75" i="1"/>
  <c r="V71" i="1"/>
  <c r="U2" i="16" l="1"/>
  <c r="K72" i="1"/>
  <c r="L72" i="1" s="1"/>
  <c r="M72" i="1" s="1"/>
  <c r="N72" i="1" s="1"/>
  <c r="K80" i="1"/>
  <c r="L80" i="1" s="1"/>
  <c r="K76" i="1"/>
  <c r="M80" i="1" l="1"/>
  <c r="L76" i="1"/>
  <c r="O82" i="1"/>
  <c r="B82" i="1" s="1"/>
  <c r="B78" i="1"/>
  <c r="B74" i="1"/>
  <c r="B70" i="1"/>
  <c r="K68" i="1"/>
  <c r="L68" i="1" s="1"/>
  <c r="M68" i="1" s="1"/>
  <c r="N68" i="1" s="1"/>
  <c r="U2" i="1"/>
  <c r="B118" i="1" l="1"/>
  <c r="N80" i="1"/>
  <c r="M76" i="1"/>
  <c r="J111" i="1"/>
  <c r="J107" i="1"/>
  <c r="N76" i="1" l="1"/>
  <c r="J55" i="16" l="1"/>
  <c r="J66" i="16" l="1"/>
  <c r="J65" i="16"/>
  <c r="J64" i="16"/>
  <c r="J61" i="16"/>
  <c r="J60" i="16"/>
  <c r="J59" i="16"/>
  <c r="T67" i="16"/>
  <c r="T62" i="16"/>
  <c r="J56" i="16"/>
  <c r="J54" i="16"/>
  <c r="O56" i="16"/>
  <c r="T57" i="16"/>
  <c r="V62" i="16" l="1"/>
  <c r="U62" i="16"/>
  <c r="O61" i="16" s="1"/>
  <c r="V57" i="16"/>
  <c r="V67" i="16"/>
  <c r="U67" i="16"/>
  <c r="O66" i="16" s="1"/>
  <c r="O4" i="16"/>
  <c r="J4" i="16"/>
  <c r="J6" i="1"/>
  <c r="K9" i="1" l="1"/>
  <c r="L9" i="1" s="1"/>
  <c r="M9" i="1" s="1"/>
  <c r="N9" i="1" s="1"/>
  <c r="K74" i="1"/>
  <c r="L74" i="1" s="1"/>
  <c r="M74" i="1" s="1"/>
  <c r="N74" i="1" s="1"/>
  <c r="K54" i="1"/>
  <c r="K54" i="16" s="1"/>
  <c r="G155" i="16"/>
  <c r="M150" i="16"/>
  <c r="L150" i="16"/>
  <c r="M148" i="16"/>
  <c r="L148" i="16"/>
  <c r="G148" i="16"/>
  <c r="N148" i="16"/>
  <c r="G146" i="16"/>
  <c r="L146" i="16"/>
  <c r="J146" i="16"/>
  <c r="L144" i="16"/>
  <c r="C151" i="16"/>
  <c r="M144" i="16"/>
  <c r="K142" i="16"/>
  <c r="L142" i="16"/>
  <c r="F135" i="16"/>
  <c r="E135" i="16"/>
  <c r="D135" i="16"/>
  <c r="C135" i="16"/>
  <c r="B131" i="16"/>
  <c r="F131" i="16"/>
  <c r="F126" i="16"/>
  <c r="E126" i="16"/>
  <c r="D126" i="16"/>
  <c r="C126" i="16"/>
  <c r="B126" i="16"/>
  <c r="G125" i="16"/>
  <c r="G124" i="16"/>
  <c r="G123" i="16"/>
  <c r="A117" i="16"/>
  <c r="A116" i="16"/>
  <c r="F115" i="16"/>
  <c r="E115" i="16"/>
  <c r="D115" i="16"/>
  <c r="C115" i="16"/>
  <c r="B115" i="16"/>
  <c r="A115" i="16"/>
  <c r="A114" i="16"/>
  <c r="A113" i="16"/>
  <c r="O107" i="16"/>
  <c r="B108" i="16" s="1"/>
  <c r="O103" i="16"/>
  <c r="B104" i="16" s="1"/>
  <c r="O99" i="16"/>
  <c r="B96" i="16"/>
  <c r="B95" i="16"/>
  <c r="B94" i="16"/>
  <c r="J93" i="16"/>
  <c r="J92" i="16"/>
  <c r="B90" i="16"/>
  <c r="B89" i="16"/>
  <c r="B88" i="16"/>
  <c r="J87" i="16"/>
  <c r="J86" i="16"/>
  <c r="B84" i="16"/>
  <c r="B83" i="16"/>
  <c r="B82" i="16"/>
  <c r="J81" i="16"/>
  <c r="B78" i="16"/>
  <c r="J79" i="16" s="1"/>
  <c r="J77" i="16"/>
  <c r="B75" i="16"/>
  <c r="J74" i="16"/>
  <c r="B72" i="16"/>
  <c r="J71" i="16"/>
  <c r="B69" i="16"/>
  <c r="J68" i="16"/>
  <c r="O65" i="16"/>
  <c r="O64" i="16"/>
  <c r="J63" i="16"/>
  <c r="O60" i="16"/>
  <c r="O59" i="16"/>
  <c r="J58" i="16"/>
  <c r="O55" i="16"/>
  <c r="O54" i="16"/>
  <c r="J53" i="16"/>
  <c r="B51" i="16"/>
  <c r="O50" i="16"/>
  <c r="B50" i="16" s="1"/>
  <c r="O49" i="16"/>
  <c r="B49" i="16" s="1"/>
  <c r="J48" i="16"/>
  <c r="B46" i="16"/>
  <c r="O45" i="16"/>
  <c r="B45" i="16" s="1"/>
  <c r="O44" i="16"/>
  <c r="B44" i="16" s="1"/>
  <c r="J43" i="16"/>
  <c r="B41" i="16"/>
  <c r="O40" i="16"/>
  <c r="B40" i="16" s="1"/>
  <c r="O39" i="16"/>
  <c r="B39" i="16" s="1"/>
  <c r="J38" i="16"/>
  <c r="B36" i="16"/>
  <c r="O35" i="16"/>
  <c r="B35" i="16" s="1"/>
  <c r="O34" i="16"/>
  <c r="B34" i="16" s="1"/>
  <c r="J33" i="16"/>
  <c r="B31" i="16"/>
  <c r="O30" i="16"/>
  <c r="B30" i="16" s="1"/>
  <c r="O29" i="16"/>
  <c r="B29" i="16" s="1"/>
  <c r="J28" i="16"/>
  <c r="B26" i="16"/>
  <c r="O25" i="16"/>
  <c r="B25" i="16" s="1"/>
  <c r="O24" i="16"/>
  <c r="B24" i="16" s="1"/>
  <c r="J23" i="16"/>
  <c r="B21" i="16"/>
  <c r="O20" i="16"/>
  <c r="B20" i="16" s="1"/>
  <c r="O19" i="16"/>
  <c r="B19" i="16" s="1"/>
  <c r="J18" i="16"/>
  <c r="B16" i="16"/>
  <c r="O15" i="16"/>
  <c r="B15" i="16" s="1"/>
  <c r="O14" i="16"/>
  <c r="B14" i="16" s="1"/>
  <c r="J13" i="16"/>
  <c r="B11" i="16"/>
  <c r="O10" i="16"/>
  <c r="B10" i="16" s="1"/>
  <c r="O9" i="16"/>
  <c r="B9" i="16" s="1"/>
  <c r="J8" i="16"/>
  <c r="Z6" i="16"/>
  <c r="J6" i="16"/>
  <c r="Z5" i="16"/>
  <c r="P3" i="16"/>
  <c r="P4" i="16" s="1"/>
  <c r="P5" i="16" s="1"/>
  <c r="B138" i="16" l="1"/>
  <c r="K30" i="16"/>
  <c r="K69" i="16"/>
  <c r="L69" i="16" s="1"/>
  <c r="M69" i="16" s="1"/>
  <c r="N69" i="16" s="1"/>
  <c r="K75" i="16"/>
  <c r="L75" i="16" s="1"/>
  <c r="M75" i="16" s="1"/>
  <c r="N75" i="16" s="1"/>
  <c r="K72" i="16"/>
  <c r="L72" i="16" s="1"/>
  <c r="M72" i="16" s="1"/>
  <c r="N72" i="16" s="1"/>
  <c r="G126" i="16"/>
  <c r="J17" i="16"/>
  <c r="J22" i="16"/>
  <c r="G115" i="16"/>
  <c r="L54" i="1"/>
  <c r="J47" i="16"/>
  <c r="J27" i="16"/>
  <c r="J42" i="16"/>
  <c r="A104" i="16"/>
  <c r="K11" i="16"/>
  <c r="C11" i="16" s="1"/>
  <c r="K31" i="16"/>
  <c r="N146" i="16"/>
  <c r="K150" i="16"/>
  <c r="K19" i="16"/>
  <c r="L19" i="16" s="1"/>
  <c r="D19" i="16" s="1"/>
  <c r="K39" i="16"/>
  <c r="L39" i="16" s="1"/>
  <c r="D39" i="16" s="1"/>
  <c r="K44" i="16"/>
  <c r="C44" i="16" s="1"/>
  <c r="G150" i="16"/>
  <c r="K46" i="16"/>
  <c r="C46" i="16" s="1"/>
  <c r="K36" i="16"/>
  <c r="C36" i="16" s="1"/>
  <c r="G139" i="16"/>
  <c r="J150" i="16"/>
  <c r="K15" i="16"/>
  <c r="C15" i="16" s="1"/>
  <c r="G129" i="16"/>
  <c r="J142" i="16"/>
  <c r="N144" i="16"/>
  <c r="K144" i="16"/>
  <c r="M146" i="16"/>
  <c r="K10" i="16"/>
  <c r="C10" i="16" s="1"/>
  <c r="K51" i="16"/>
  <c r="L51" i="16" s="1"/>
  <c r="M51" i="16" s="1"/>
  <c r="N51" i="16" s="1"/>
  <c r="F51" i="16" s="1"/>
  <c r="C131" i="16"/>
  <c r="K146" i="16"/>
  <c r="N150" i="16"/>
  <c r="D131" i="16"/>
  <c r="G142" i="16"/>
  <c r="G144" i="16"/>
  <c r="J105" i="16"/>
  <c r="J12" i="16"/>
  <c r="J52" i="16"/>
  <c r="J97" i="16"/>
  <c r="J32" i="16"/>
  <c r="J37" i="16"/>
  <c r="K9" i="16"/>
  <c r="L9" i="16" s="1"/>
  <c r="K20" i="16"/>
  <c r="C20" i="16" s="1"/>
  <c r="K41" i="16"/>
  <c r="L41" i="16" s="1"/>
  <c r="K49" i="16"/>
  <c r="L49" i="16" s="1"/>
  <c r="K82" i="16"/>
  <c r="C82" i="16" s="1"/>
  <c r="J148" i="16"/>
  <c r="G147" i="16"/>
  <c r="K96" i="16"/>
  <c r="L96" i="16" s="1"/>
  <c r="M96" i="16" s="1"/>
  <c r="K88" i="16"/>
  <c r="K83" i="16"/>
  <c r="L83" i="16" s="1"/>
  <c r="K50" i="16"/>
  <c r="K94" i="16"/>
  <c r="C94" i="16" s="1"/>
  <c r="K89" i="16"/>
  <c r="K108" i="16"/>
  <c r="K78" i="16"/>
  <c r="K77" i="16" s="1"/>
  <c r="K74" i="16"/>
  <c r="K68" i="16"/>
  <c r="K104" i="16"/>
  <c r="K95" i="16"/>
  <c r="K84" i="16"/>
  <c r="C84" i="16" s="1"/>
  <c r="K14" i="16"/>
  <c r="L14" i="16" s="1"/>
  <c r="D14" i="16" s="1"/>
  <c r="K25" i="16"/>
  <c r="C25" i="16" s="1"/>
  <c r="B100" i="16"/>
  <c r="A100" i="16"/>
  <c r="K148" i="16"/>
  <c r="J91" i="16"/>
  <c r="E131" i="16"/>
  <c r="A4" i="16"/>
  <c r="K16" i="16"/>
  <c r="C16" i="16" s="1"/>
  <c r="K24" i="16"/>
  <c r="C24" i="16" s="1"/>
  <c r="L30" i="16"/>
  <c r="M30" i="16" s="1"/>
  <c r="K35" i="16"/>
  <c r="L35" i="16" s="1"/>
  <c r="K100" i="16"/>
  <c r="M142" i="16"/>
  <c r="E151" i="16"/>
  <c r="B151" i="16"/>
  <c r="B153" i="16" s="1"/>
  <c r="B135" i="16"/>
  <c r="G134" i="16"/>
  <c r="K21" i="16"/>
  <c r="C21" i="16" s="1"/>
  <c r="K29" i="16"/>
  <c r="C29" i="16" s="1"/>
  <c r="K40" i="16"/>
  <c r="K45" i="16"/>
  <c r="L45" i="16" s="1"/>
  <c r="D45" i="16" s="1"/>
  <c r="B114" i="16"/>
  <c r="J70" i="16"/>
  <c r="J73" i="16"/>
  <c r="J76" i="16"/>
  <c r="J85" i="16"/>
  <c r="K90" i="16"/>
  <c r="C90" i="16" s="1"/>
  <c r="J109" i="16"/>
  <c r="N142" i="16"/>
  <c r="F151" i="16"/>
  <c r="K26" i="16"/>
  <c r="L26" i="16" s="1"/>
  <c r="M26" i="16" s="1"/>
  <c r="E26" i="16" s="1"/>
  <c r="C30" i="16"/>
  <c r="K34" i="16"/>
  <c r="L34" i="16" s="1"/>
  <c r="M34" i="16" s="1"/>
  <c r="E34" i="16" s="1"/>
  <c r="B116" i="16"/>
  <c r="J144" i="16"/>
  <c r="G143" i="16"/>
  <c r="G130" i="16"/>
  <c r="G141" i="16"/>
  <c r="G145" i="16"/>
  <c r="G149" i="16"/>
  <c r="D151" i="16"/>
  <c r="A108" i="16"/>
  <c r="U2" i="14"/>
  <c r="U2" i="13"/>
  <c r="U2" i="11"/>
  <c r="U2" i="10"/>
  <c r="U2" i="9"/>
  <c r="B193" i="1" l="1"/>
  <c r="K28" i="16"/>
  <c r="L100" i="16"/>
  <c r="L99" i="16" s="1"/>
  <c r="K99" i="16"/>
  <c r="K71" i="16"/>
  <c r="C104" i="16"/>
  <c r="K105" i="16" s="1"/>
  <c r="K103" i="16"/>
  <c r="L108" i="16"/>
  <c r="L107" i="16" s="1"/>
  <c r="K107" i="16"/>
  <c r="C39" i="16"/>
  <c r="O146" i="16"/>
  <c r="L44" i="16"/>
  <c r="M44" i="16" s="1"/>
  <c r="E44" i="16" s="1"/>
  <c r="C31" i="16"/>
  <c r="K32" i="16" s="1"/>
  <c r="M54" i="1"/>
  <c r="L54" i="16"/>
  <c r="K48" i="16"/>
  <c r="L11" i="16"/>
  <c r="D11" i="16" s="1"/>
  <c r="L82" i="16"/>
  <c r="M82" i="16" s="1"/>
  <c r="N82" i="16" s="1"/>
  <c r="C51" i="16"/>
  <c r="L20" i="16"/>
  <c r="M20" i="16" s="1"/>
  <c r="L36" i="16"/>
  <c r="L33" i="16" s="1"/>
  <c r="L46" i="16"/>
  <c r="D46" i="16" s="1"/>
  <c r="C49" i="16"/>
  <c r="C96" i="16"/>
  <c r="C50" i="16"/>
  <c r="L16" i="16"/>
  <c r="D16" i="16" s="1"/>
  <c r="M39" i="16"/>
  <c r="N39" i="16" s="1"/>
  <c r="F39" i="16" s="1"/>
  <c r="L21" i="16"/>
  <c r="M21" i="16" s="1"/>
  <c r="N21" i="16" s="1"/>
  <c r="F21" i="16" s="1"/>
  <c r="L24" i="16"/>
  <c r="D24" i="16" s="1"/>
  <c r="O150" i="16"/>
  <c r="L84" i="16"/>
  <c r="D84" i="16" s="1"/>
  <c r="O142" i="16"/>
  <c r="C100" i="16"/>
  <c r="K101" i="16" s="1"/>
  <c r="M41" i="16"/>
  <c r="D41" i="16"/>
  <c r="M35" i="16"/>
  <c r="E35" i="16" s="1"/>
  <c r="G131" i="16"/>
  <c r="K8" i="16"/>
  <c r="L31" i="16"/>
  <c r="L28" i="16" s="1"/>
  <c r="C19" i="16"/>
  <c r="K22" i="16" s="1"/>
  <c r="K86" i="16"/>
  <c r="L104" i="16"/>
  <c r="L103" i="16" s="1"/>
  <c r="C108" i="16"/>
  <c r="K109" i="16" s="1"/>
  <c r="O144" i="16"/>
  <c r="E51" i="16"/>
  <c r="L10" i="16"/>
  <c r="M10" i="16" s="1"/>
  <c r="G135" i="16"/>
  <c r="L90" i="16"/>
  <c r="D90" i="16" s="1"/>
  <c r="C41" i="16"/>
  <c r="L15" i="16"/>
  <c r="D15" i="16" s="1"/>
  <c r="C83" i="16"/>
  <c r="K93" i="16"/>
  <c r="L78" i="16"/>
  <c r="M78" i="16" s="1"/>
  <c r="C75" i="16"/>
  <c r="K76" i="16" s="1"/>
  <c r="K13" i="16"/>
  <c r="M83" i="16"/>
  <c r="D83" i="16"/>
  <c r="M9" i="16"/>
  <c r="D9" i="16"/>
  <c r="N96" i="16"/>
  <c r="F96" i="16" s="1"/>
  <c r="E96" i="16"/>
  <c r="D34" i="16"/>
  <c r="D96" i="16"/>
  <c r="N26" i="16"/>
  <c r="F26" i="16" s="1"/>
  <c r="D35" i="16"/>
  <c r="K38" i="16"/>
  <c r="C40" i="16"/>
  <c r="O148" i="16"/>
  <c r="N30" i="16"/>
  <c r="D30" i="16"/>
  <c r="K87" i="16"/>
  <c r="L89" i="16"/>
  <c r="C78" i="16"/>
  <c r="C26" i="16"/>
  <c r="E30" i="16"/>
  <c r="G151" i="16"/>
  <c r="C88" i="16"/>
  <c r="L95" i="16"/>
  <c r="K92" i="16"/>
  <c r="C138" i="16" s="1"/>
  <c r="M45" i="16"/>
  <c r="C69" i="16"/>
  <c r="L88" i="16"/>
  <c r="K80" i="16"/>
  <c r="N34" i="16"/>
  <c r="F34" i="16" s="1"/>
  <c r="K23" i="16"/>
  <c r="L25" i="16"/>
  <c r="L29" i="16"/>
  <c r="C14" i="16"/>
  <c r="K43" i="16"/>
  <c r="C45" i="16"/>
  <c r="L40" i="16"/>
  <c r="K33" i="16"/>
  <c r="C35" i="16"/>
  <c r="D51" i="16"/>
  <c r="L94" i="16"/>
  <c r="C89" i="16"/>
  <c r="C34" i="16"/>
  <c r="M14" i="16"/>
  <c r="M19" i="16"/>
  <c r="C9" i="16"/>
  <c r="B117" i="16"/>
  <c r="J101" i="16"/>
  <c r="M49" i="16"/>
  <c r="D49" i="16"/>
  <c r="D26" i="16"/>
  <c r="C95" i="16"/>
  <c r="L50" i="16"/>
  <c r="C72" i="16"/>
  <c r="K81" i="16"/>
  <c r="K18" i="16"/>
  <c r="D108" i="16" l="1"/>
  <c r="L109" i="16" s="1"/>
  <c r="M108" i="16"/>
  <c r="M107" i="16" s="1"/>
  <c r="C153" i="16"/>
  <c r="D100" i="16"/>
  <c r="L101" i="16" s="1"/>
  <c r="M100" i="16"/>
  <c r="M99" i="16" s="1"/>
  <c r="N44" i="16"/>
  <c r="F44" i="16" s="1"/>
  <c r="D44" i="16"/>
  <c r="L47" i="16" s="1"/>
  <c r="N54" i="1"/>
  <c r="N54" i="16" s="1"/>
  <c r="M54" i="16"/>
  <c r="K42" i="16"/>
  <c r="M84" i="16"/>
  <c r="M81" i="16" s="1"/>
  <c r="M24" i="16"/>
  <c r="N24" i="16" s="1"/>
  <c r="F24" i="16" s="1"/>
  <c r="E39" i="16"/>
  <c r="G39" i="16" s="1"/>
  <c r="E21" i="16"/>
  <c r="L18" i="16"/>
  <c r="D20" i="16"/>
  <c r="D21" i="16"/>
  <c r="E82" i="16"/>
  <c r="M15" i="16"/>
  <c r="E15" i="16" s="1"/>
  <c r="L80" i="16"/>
  <c r="G51" i="16"/>
  <c r="M80" i="16"/>
  <c r="D82" i="16"/>
  <c r="L85" i="16" s="1"/>
  <c r="L43" i="16"/>
  <c r="M11" i="16"/>
  <c r="E11" i="16" s="1"/>
  <c r="K52" i="16"/>
  <c r="D36" i="16"/>
  <c r="L37" i="16" s="1"/>
  <c r="M36" i="16"/>
  <c r="M33" i="16" s="1"/>
  <c r="M90" i="16"/>
  <c r="E90" i="16" s="1"/>
  <c r="M46" i="16"/>
  <c r="N46" i="16" s="1"/>
  <c r="F46" i="16" s="1"/>
  <c r="M16" i="16"/>
  <c r="N16" i="16" s="1"/>
  <c r="F16" i="16" s="1"/>
  <c r="L81" i="16"/>
  <c r="C117" i="16"/>
  <c r="L17" i="16"/>
  <c r="G96" i="16"/>
  <c r="C116" i="16"/>
  <c r="L74" i="16"/>
  <c r="D75" i="16"/>
  <c r="L76" i="16" s="1"/>
  <c r="D31" i="16"/>
  <c r="M31" i="16"/>
  <c r="M104" i="16"/>
  <c r="M103" i="16" s="1"/>
  <c r="D104" i="16"/>
  <c r="L105" i="16" s="1"/>
  <c r="L8" i="16"/>
  <c r="N35" i="16"/>
  <c r="L77" i="16"/>
  <c r="D78" i="16"/>
  <c r="L79" i="16" s="1"/>
  <c r="E41" i="16"/>
  <c r="N41" i="16"/>
  <c r="F41" i="16" s="1"/>
  <c r="N10" i="16"/>
  <c r="E10" i="16"/>
  <c r="K85" i="16"/>
  <c r="D10" i="16"/>
  <c r="L13" i="16"/>
  <c r="G26" i="16"/>
  <c r="L92" i="16"/>
  <c r="M94" i="16"/>
  <c r="D94" i="16"/>
  <c r="K47" i="16"/>
  <c r="L23" i="16"/>
  <c r="D25" i="16"/>
  <c r="M25" i="16"/>
  <c r="M74" i="16"/>
  <c r="E75" i="16"/>
  <c r="K97" i="16"/>
  <c r="E14" i="16"/>
  <c r="N14" i="16"/>
  <c r="F14" i="16" s="1"/>
  <c r="M77" i="16"/>
  <c r="E78" i="16"/>
  <c r="M79" i="16" s="1"/>
  <c r="N78" i="16"/>
  <c r="K27" i="16"/>
  <c r="K91" i="16"/>
  <c r="K73" i="16"/>
  <c r="L68" i="16"/>
  <c r="D69" i="16"/>
  <c r="N9" i="16"/>
  <c r="E9" i="16"/>
  <c r="K17" i="16"/>
  <c r="F82" i="16"/>
  <c r="L87" i="16"/>
  <c r="D89" i="16"/>
  <c r="M89" i="16"/>
  <c r="N49" i="16"/>
  <c r="F49" i="16" s="1"/>
  <c r="E49" i="16"/>
  <c r="K79" i="16"/>
  <c r="L93" i="16"/>
  <c r="M95" i="16"/>
  <c r="D95" i="16"/>
  <c r="M29" i="16"/>
  <c r="D29" i="16"/>
  <c r="L86" i="16"/>
  <c r="D88" i="16"/>
  <c r="M88" i="16"/>
  <c r="F30" i="16"/>
  <c r="G30" i="16" s="1"/>
  <c r="K12" i="16"/>
  <c r="K37" i="16"/>
  <c r="G34" i="16"/>
  <c r="L38" i="16"/>
  <c r="M40" i="16"/>
  <c r="D40" i="16"/>
  <c r="L42" i="16" s="1"/>
  <c r="C114" i="16"/>
  <c r="K70" i="16"/>
  <c r="L71" i="16"/>
  <c r="D72" i="16"/>
  <c r="L73" i="16" s="1"/>
  <c r="N83" i="16"/>
  <c r="N80" i="16" s="1"/>
  <c r="E83" i="16"/>
  <c r="L48" i="16"/>
  <c r="D50" i="16"/>
  <c r="M50" i="16"/>
  <c r="N19" i="16"/>
  <c r="F19" i="16" s="1"/>
  <c r="E19" i="16"/>
  <c r="N45" i="16"/>
  <c r="E45" i="16"/>
  <c r="M18" i="16"/>
  <c r="N20" i="16"/>
  <c r="E20" i="16"/>
  <c r="E108" i="16" l="1"/>
  <c r="M109" i="16" s="1"/>
  <c r="N108" i="16"/>
  <c r="N107" i="16" s="1"/>
  <c r="N100" i="16"/>
  <c r="F100" i="16" s="1"/>
  <c r="N101" i="16" s="1"/>
  <c r="E100" i="16"/>
  <c r="M101" i="16" s="1"/>
  <c r="D138" i="16"/>
  <c r="D153" i="16" s="1"/>
  <c r="D193" i="1" s="1"/>
  <c r="C193" i="1"/>
  <c r="N99" i="16"/>
  <c r="F108" i="16"/>
  <c r="N109" i="16" s="1"/>
  <c r="N84" i="16"/>
  <c r="F84" i="16" s="1"/>
  <c r="E84" i="16"/>
  <c r="M85" i="16" s="1"/>
  <c r="E24" i="16"/>
  <c r="G24" i="16" s="1"/>
  <c r="G44" i="16"/>
  <c r="N90" i="16"/>
  <c r="F90" i="16" s="1"/>
  <c r="G90" i="16" s="1"/>
  <c r="E46" i="16"/>
  <c r="G46" i="16" s="1"/>
  <c r="M43" i="16"/>
  <c r="G21" i="16"/>
  <c r="L22" i="16"/>
  <c r="N11" i="16"/>
  <c r="F11" i="16" s="1"/>
  <c r="G11" i="16" s="1"/>
  <c r="M13" i="16"/>
  <c r="N15" i="16"/>
  <c r="N13" i="16" s="1"/>
  <c r="M8" i="16"/>
  <c r="E16" i="16"/>
  <c r="G16" i="16" s="1"/>
  <c r="N36" i="16"/>
  <c r="F36" i="16" s="1"/>
  <c r="E36" i="16"/>
  <c r="L91" i="16"/>
  <c r="G14" i="16"/>
  <c r="F35" i="16"/>
  <c r="D117" i="16"/>
  <c r="F10" i="16"/>
  <c r="G10" i="16" s="1"/>
  <c r="E104" i="16"/>
  <c r="N104" i="16"/>
  <c r="E31" i="16"/>
  <c r="N31" i="16"/>
  <c r="M28" i="16"/>
  <c r="L12" i="16"/>
  <c r="G41" i="16"/>
  <c r="N18" i="16"/>
  <c r="Q20" i="16" s="1"/>
  <c r="F20" i="16"/>
  <c r="G20" i="16" s="1"/>
  <c r="L32" i="16"/>
  <c r="L27" i="16"/>
  <c r="F83" i="16"/>
  <c r="M76" i="16"/>
  <c r="M22" i="16"/>
  <c r="G19" i="16"/>
  <c r="N43" i="16"/>
  <c r="F45" i="16"/>
  <c r="N47" i="16" s="1"/>
  <c r="D116" i="16"/>
  <c r="N77" i="16"/>
  <c r="Q78" i="16" s="1"/>
  <c r="F78" i="16"/>
  <c r="N79" i="16" s="1"/>
  <c r="M92" i="16"/>
  <c r="E94" i="16"/>
  <c r="N94" i="16"/>
  <c r="M68" i="16"/>
  <c r="E69" i="16"/>
  <c r="M12" i="16"/>
  <c r="M48" i="16"/>
  <c r="N50" i="16"/>
  <c r="E50" i="16"/>
  <c r="M52" i="16" s="1"/>
  <c r="F9" i="16"/>
  <c r="M93" i="16"/>
  <c r="N95" i="16"/>
  <c r="E95" i="16"/>
  <c r="G49" i="16"/>
  <c r="M71" i="16"/>
  <c r="E72" i="16"/>
  <c r="M73" i="16" s="1"/>
  <c r="M38" i="16"/>
  <c r="N40" i="16"/>
  <c r="E40" i="16"/>
  <c r="L52" i="16"/>
  <c r="N29" i="16"/>
  <c r="F29" i="16" s="1"/>
  <c r="E29" i="16"/>
  <c r="M87" i="16"/>
  <c r="N89" i="16"/>
  <c r="E89" i="16"/>
  <c r="D114" i="16"/>
  <c r="L70" i="16"/>
  <c r="E25" i="16"/>
  <c r="M23" i="16"/>
  <c r="N25" i="16"/>
  <c r="M86" i="16"/>
  <c r="N88" i="16"/>
  <c r="E88" i="16"/>
  <c r="G82" i="16"/>
  <c r="N74" i="16"/>
  <c r="P75" i="16" s="1"/>
  <c r="F75" i="16"/>
  <c r="N76" i="16" s="1"/>
  <c r="L97" i="16"/>
  <c r="Z5" i="1"/>
  <c r="Z6" i="1" s="1"/>
  <c r="E138" i="16" l="1"/>
  <c r="E153" i="16" s="1"/>
  <c r="E193" i="1" s="1"/>
  <c r="E117" i="16"/>
  <c r="G108" i="16"/>
  <c r="M27" i="16"/>
  <c r="G100" i="16"/>
  <c r="F104" i="16"/>
  <c r="N105" i="16" s="1"/>
  <c r="N103" i="16"/>
  <c r="G84" i="16"/>
  <c r="N85" i="16"/>
  <c r="N81" i="16"/>
  <c r="Q83" i="16" s="1"/>
  <c r="F15" i="16"/>
  <c r="G15" i="16" s="1"/>
  <c r="Q46" i="16"/>
  <c r="M47" i="16"/>
  <c r="G45" i="16"/>
  <c r="G83" i="16"/>
  <c r="F117" i="16"/>
  <c r="G117" i="16" s="1"/>
  <c r="M17" i="16"/>
  <c r="N8" i="16"/>
  <c r="Q10" i="16" s="1"/>
  <c r="N22" i="16"/>
  <c r="G36" i="16"/>
  <c r="M37" i="16"/>
  <c r="N33" i="16"/>
  <c r="Q19" i="16"/>
  <c r="G9" i="16"/>
  <c r="G35" i="16"/>
  <c r="N37" i="16"/>
  <c r="G78" i="16"/>
  <c r="P19" i="16"/>
  <c r="A20" i="16" s="1"/>
  <c r="F31" i="16"/>
  <c r="G31" i="16" s="1"/>
  <c r="N28" i="16"/>
  <c r="Q30" i="16" s="1"/>
  <c r="M32" i="16"/>
  <c r="G29" i="16"/>
  <c r="M105" i="16"/>
  <c r="Q21" i="16"/>
  <c r="M91" i="16"/>
  <c r="Q15" i="16"/>
  <c r="Q16" i="16"/>
  <c r="Q14" i="16"/>
  <c r="P14" i="16"/>
  <c r="M42" i="16"/>
  <c r="Q45" i="16"/>
  <c r="P78" i="16"/>
  <c r="A78" i="16" s="1"/>
  <c r="Q44" i="16"/>
  <c r="F40" i="16"/>
  <c r="N42" i="16" s="1"/>
  <c r="N38" i="16"/>
  <c r="P39" i="16" s="1"/>
  <c r="N12" i="16"/>
  <c r="Q75" i="16"/>
  <c r="A75" i="16" s="1"/>
  <c r="N92" i="16"/>
  <c r="F138" i="16" s="1"/>
  <c r="F153" i="16" s="1"/>
  <c r="F193" i="1" s="1"/>
  <c r="F94" i="16"/>
  <c r="G75" i="16"/>
  <c r="N87" i="16"/>
  <c r="P88" i="16" s="1"/>
  <c r="F89" i="16"/>
  <c r="N86" i="16"/>
  <c r="F88" i="16"/>
  <c r="N23" i="16"/>
  <c r="Q25" i="16" s="1"/>
  <c r="F25" i="16"/>
  <c r="N48" i="16"/>
  <c r="F50" i="16"/>
  <c r="P44" i="16"/>
  <c r="M97" i="16"/>
  <c r="N71" i="16"/>
  <c r="P72" i="16" s="1"/>
  <c r="F72" i="16"/>
  <c r="N68" i="16"/>
  <c r="P69" i="16" s="1"/>
  <c r="F69" i="16"/>
  <c r="G69" i="16" s="1"/>
  <c r="E116" i="16"/>
  <c r="N93" i="16"/>
  <c r="P94" i="16" s="1"/>
  <c r="F95" i="16"/>
  <c r="G95" i="16" s="1"/>
  <c r="E114" i="16"/>
  <c r="M70" i="16"/>
  <c r="G158" i="1"/>
  <c r="G104" i="16" l="1"/>
  <c r="G153" i="16"/>
  <c r="G138" i="16"/>
  <c r="P82" i="16"/>
  <c r="Q84" i="16"/>
  <c r="Q82" i="16"/>
  <c r="N17" i="16"/>
  <c r="Q9" i="16"/>
  <c r="P9" i="16"/>
  <c r="A10" i="16" s="1"/>
  <c r="Q11" i="16"/>
  <c r="Q40" i="16"/>
  <c r="A40" i="16" s="1"/>
  <c r="A83" i="16"/>
  <c r="Q35" i="16"/>
  <c r="Q34" i="16"/>
  <c r="P34" i="16"/>
  <c r="Q36" i="16"/>
  <c r="A19" i="16"/>
  <c r="Q96" i="16"/>
  <c r="Q31" i="16"/>
  <c r="Q69" i="16"/>
  <c r="A69" i="16" s="1"/>
  <c r="G40" i="16"/>
  <c r="F116" i="16"/>
  <c r="G116" i="16" s="1"/>
  <c r="Q24" i="16"/>
  <c r="Q26" i="16"/>
  <c r="Q41" i="16"/>
  <c r="Q39" i="16"/>
  <c r="A39" i="16" s="1"/>
  <c r="P24" i="16"/>
  <c r="P29" i="16"/>
  <c r="Q29" i="16"/>
  <c r="N32" i="16"/>
  <c r="Q89" i="16"/>
  <c r="A89" i="16" s="1"/>
  <c r="A44" i="16"/>
  <c r="A45" i="16"/>
  <c r="A15" i="16"/>
  <c r="A14" i="16"/>
  <c r="G89" i="16"/>
  <c r="Q72" i="16"/>
  <c r="A72" i="16" s="1"/>
  <c r="N73" i="16"/>
  <c r="G72" i="16"/>
  <c r="N52" i="16"/>
  <c r="G50" i="16"/>
  <c r="N91" i="16"/>
  <c r="G88" i="16"/>
  <c r="N27" i="16"/>
  <c r="G25" i="16"/>
  <c r="Q49" i="16"/>
  <c r="P49" i="16"/>
  <c r="Q51" i="16"/>
  <c r="Q50" i="16"/>
  <c r="N97" i="16"/>
  <c r="G94" i="16"/>
  <c r="Q95" i="16"/>
  <c r="A95" i="16" s="1"/>
  <c r="Q88" i="16"/>
  <c r="A88" i="16" s="1"/>
  <c r="Q90" i="16"/>
  <c r="Q94" i="16"/>
  <c r="A94" i="16" s="1"/>
  <c r="F114" i="16"/>
  <c r="G114" i="16" s="1"/>
  <c r="N70" i="16"/>
  <c r="A153" i="1"/>
  <c r="A152" i="1"/>
  <c r="A151" i="1"/>
  <c r="A82" i="16" l="1"/>
  <c r="A24" i="16"/>
  <c r="A9" i="16"/>
  <c r="A35" i="16"/>
  <c r="A34" i="16"/>
  <c r="A25" i="16"/>
  <c r="A29" i="16"/>
  <c r="A30" i="16"/>
  <c r="A50" i="16"/>
  <c r="A49" i="16"/>
  <c r="J62" i="14"/>
  <c r="J58" i="14"/>
  <c r="J57" i="14"/>
  <c r="J53" i="14"/>
  <c r="J52" i="14"/>
  <c r="J62" i="13"/>
  <c r="J58" i="13"/>
  <c r="J57" i="13"/>
  <c r="J53" i="13"/>
  <c r="J52" i="13"/>
  <c r="J62" i="11"/>
  <c r="J58" i="11"/>
  <c r="J57" i="11"/>
  <c r="J53" i="11"/>
  <c r="J52" i="11"/>
  <c r="J62" i="10"/>
  <c r="J58" i="10"/>
  <c r="J57" i="10"/>
  <c r="J53" i="10"/>
  <c r="J52" i="10"/>
  <c r="B103" i="10" s="1"/>
  <c r="B120" i="10" s="1"/>
  <c r="J52" i="9"/>
  <c r="J57" i="9"/>
  <c r="J62" i="9"/>
  <c r="O66" i="14"/>
  <c r="B66" i="14" s="1"/>
  <c r="O65" i="14"/>
  <c r="B65" i="14" s="1"/>
  <c r="O64" i="14"/>
  <c r="B64" i="14" s="1"/>
  <c r="O61" i="14"/>
  <c r="B61" i="14" s="1"/>
  <c r="O60" i="14"/>
  <c r="B60" i="14" s="1"/>
  <c r="O59" i="14"/>
  <c r="B59" i="14" s="1"/>
  <c r="O56" i="14"/>
  <c r="B56" i="14" s="1"/>
  <c r="O55" i="14"/>
  <c r="B55" i="14" s="1"/>
  <c r="O54" i="14"/>
  <c r="B54" i="14" s="1"/>
  <c r="O40" i="14"/>
  <c r="B40" i="14" s="1"/>
  <c r="O39" i="14"/>
  <c r="B39" i="14" s="1"/>
  <c r="O38" i="14"/>
  <c r="B38" i="14" s="1"/>
  <c r="O34" i="14"/>
  <c r="B34" i="14" s="1"/>
  <c r="O33" i="14"/>
  <c r="B33" i="14" s="1"/>
  <c r="O32" i="14"/>
  <c r="B32" i="14" s="1"/>
  <c r="O28" i="14"/>
  <c r="B28" i="14" s="1"/>
  <c r="O27" i="14"/>
  <c r="B27" i="14" s="1"/>
  <c r="O26" i="14"/>
  <c r="B26" i="14" s="1"/>
  <c r="O22" i="14"/>
  <c r="B22" i="14" s="1"/>
  <c r="O21" i="14"/>
  <c r="B21" i="14" s="1"/>
  <c r="O20" i="14"/>
  <c r="B20" i="14" s="1"/>
  <c r="O16" i="14"/>
  <c r="B16" i="14" s="1"/>
  <c r="O15" i="14"/>
  <c r="B15" i="14" s="1"/>
  <c r="O14" i="14"/>
  <c r="B14" i="14" s="1"/>
  <c r="O10" i="14"/>
  <c r="B10" i="14" s="1"/>
  <c r="O9" i="14"/>
  <c r="B9" i="14" s="1"/>
  <c r="O8" i="14"/>
  <c r="B8" i="14" s="1"/>
  <c r="O3" i="14"/>
  <c r="O66" i="13"/>
  <c r="B66" i="13" s="1"/>
  <c r="O65" i="13"/>
  <c r="B65" i="13" s="1"/>
  <c r="O64" i="13"/>
  <c r="B64" i="13" s="1"/>
  <c r="O61" i="13"/>
  <c r="B61" i="13" s="1"/>
  <c r="O60" i="13"/>
  <c r="B60" i="13" s="1"/>
  <c r="O59" i="13"/>
  <c r="B59" i="13" s="1"/>
  <c r="O56" i="13"/>
  <c r="B56" i="13" s="1"/>
  <c r="O55" i="13"/>
  <c r="B55" i="13" s="1"/>
  <c r="O54" i="13"/>
  <c r="B54" i="13" s="1"/>
  <c r="O40" i="13"/>
  <c r="B40" i="13" s="1"/>
  <c r="O39" i="13"/>
  <c r="B39" i="13" s="1"/>
  <c r="O38" i="13"/>
  <c r="B38" i="13" s="1"/>
  <c r="O34" i="13"/>
  <c r="B34" i="13" s="1"/>
  <c r="O33" i="13"/>
  <c r="B33" i="13" s="1"/>
  <c r="O32" i="13"/>
  <c r="B32" i="13" s="1"/>
  <c r="O28" i="13"/>
  <c r="B28" i="13" s="1"/>
  <c r="O27" i="13"/>
  <c r="B27" i="13" s="1"/>
  <c r="O26" i="13"/>
  <c r="B26" i="13" s="1"/>
  <c r="O22" i="13"/>
  <c r="B22" i="13" s="1"/>
  <c r="O21" i="13"/>
  <c r="B21" i="13" s="1"/>
  <c r="O20" i="13"/>
  <c r="B20" i="13" s="1"/>
  <c r="O16" i="13"/>
  <c r="B16" i="13" s="1"/>
  <c r="O15" i="13"/>
  <c r="B15" i="13" s="1"/>
  <c r="O14" i="13"/>
  <c r="B14" i="13" s="1"/>
  <c r="O10" i="13"/>
  <c r="B10" i="13" s="1"/>
  <c r="O9" i="13"/>
  <c r="B9" i="13" s="1"/>
  <c r="O8" i="13"/>
  <c r="B8" i="13" s="1"/>
  <c r="O3" i="13"/>
  <c r="O66" i="11"/>
  <c r="B66" i="11" s="1"/>
  <c r="O65" i="11"/>
  <c r="B65" i="11" s="1"/>
  <c r="O64" i="11"/>
  <c r="B64" i="11" s="1"/>
  <c r="O61" i="11"/>
  <c r="B61" i="11" s="1"/>
  <c r="O60" i="11"/>
  <c r="B60" i="11" s="1"/>
  <c r="O59" i="11"/>
  <c r="B59" i="11" s="1"/>
  <c r="O56" i="11"/>
  <c r="B56" i="11" s="1"/>
  <c r="O55" i="11"/>
  <c r="B55" i="11" s="1"/>
  <c r="O54" i="11"/>
  <c r="B54" i="11" s="1"/>
  <c r="O40" i="11"/>
  <c r="B40" i="11" s="1"/>
  <c r="O39" i="11"/>
  <c r="B39" i="11" s="1"/>
  <c r="O38" i="11"/>
  <c r="B38" i="11" s="1"/>
  <c r="O34" i="11"/>
  <c r="B34" i="11" s="1"/>
  <c r="O33" i="11"/>
  <c r="B33" i="11" s="1"/>
  <c r="O32" i="11"/>
  <c r="B32" i="11" s="1"/>
  <c r="O28" i="11"/>
  <c r="B28" i="11" s="1"/>
  <c r="O27" i="11"/>
  <c r="B27" i="11" s="1"/>
  <c r="O26" i="11"/>
  <c r="B26" i="11" s="1"/>
  <c r="O22" i="11"/>
  <c r="B22" i="11" s="1"/>
  <c r="O21" i="11"/>
  <c r="B21" i="11" s="1"/>
  <c r="O20" i="11"/>
  <c r="B20" i="11" s="1"/>
  <c r="O16" i="11"/>
  <c r="B16" i="11" s="1"/>
  <c r="O15" i="11"/>
  <c r="B15" i="11" s="1"/>
  <c r="O14" i="11"/>
  <c r="B14" i="11" s="1"/>
  <c r="O10" i="11"/>
  <c r="B10" i="11" s="1"/>
  <c r="O9" i="11"/>
  <c r="B9" i="11" s="1"/>
  <c r="O8" i="11"/>
  <c r="B8" i="11" s="1"/>
  <c r="O3" i="11"/>
  <c r="O66" i="10"/>
  <c r="B66" i="10" s="1"/>
  <c r="O65" i="10"/>
  <c r="B65" i="10" s="1"/>
  <c r="O64" i="10"/>
  <c r="B64" i="10" s="1"/>
  <c r="O61" i="10"/>
  <c r="B61" i="10" s="1"/>
  <c r="O60" i="10"/>
  <c r="B60" i="10" s="1"/>
  <c r="O59" i="10"/>
  <c r="B59" i="10" s="1"/>
  <c r="O56" i="10"/>
  <c r="B56" i="10" s="1"/>
  <c r="O55" i="10"/>
  <c r="B55" i="10" s="1"/>
  <c r="O54" i="10"/>
  <c r="B54" i="10" s="1"/>
  <c r="O40" i="10"/>
  <c r="B40" i="10" s="1"/>
  <c r="O39" i="10"/>
  <c r="B39" i="10" s="1"/>
  <c r="O38" i="10"/>
  <c r="B38" i="10" s="1"/>
  <c r="O34" i="10"/>
  <c r="B34" i="10" s="1"/>
  <c r="O33" i="10"/>
  <c r="B33" i="10" s="1"/>
  <c r="O32" i="10"/>
  <c r="B32" i="10" s="1"/>
  <c r="O28" i="10"/>
  <c r="B28" i="10" s="1"/>
  <c r="O27" i="10"/>
  <c r="B27" i="10" s="1"/>
  <c r="O26" i="10"/>
  <c r="B26" i="10" s="1"/>
  <c r="O22" i="10"/>
  <c r="B22" i="10" s="1"/>
  <c r="O21" i="10"/>
  <c r="B21" i="10" s="1"/>
  <c r="O20" i="10"/>
  <c r="B20" i="10" s="1"/>
  <c r="O16" i="10"/>
  <c r="B16" i="10" s="1"/>
  <c r="O15" i="10"/>
  <c r="B15" i="10" s="1"/>
  <c r="O14" i="10"/>
  <c r="B14" i="10" s="1"/>
  <c r="O10" i="10"/>
  <c r="B10" i="10" s="1"/>
  <c r="O9" i="10"/>
  <c r="B9" i="10" s="1"/>
  <c r="O8" i="10"/>
  <c r="B8" i="10" s="1"/>
  <c r="O3" i="10"/>
  <c r="O66" i="9"/>
  <c r="B66" i="9" s="1"/>
  <c r="O61" i="9"/>
  <c r="B61" i="9" s="1"/>
  <c r="O56" i="9"/>
  <c r="B56" i="9" s="1"/>
  <c r="O40" i="9"/>
  <c r="B40" i="9" s="1"/>
  <c r="O34" i="9"/>
  <c r="B34" i="9" s="1"/>
  <c r="O28" i="9"/>
  <c r="B28" i="9" s="1"/>
  <c r="O22" i="9"/>
  <c r="B22" i="9" s="1"/>
  <c r="O16" i="9"/>
  <c r="B16" i="9" s="1"/>
  <c r="O10" i="9"/>
  <c r="B10" i="9" s="1"/>
  <c r="B69" i="14"/>
  <c r="B72" i="14"/>
  <c r="B75" i="14"/>
  <c r="A82" i="14"/>
  <c r="A81" i="14"/>
  <c r="B45" i="14"/>
  <c r="B48" i="14"/>
  <c r="B51" i="14"/>
  <c r="A80" i="14"/>
  <c r="A79" i="14"/>
  <c r="B69" i="13"/>
  <c r="B72" i="13"/>
  <c r="B75" i="13"/>
  <c r="A82" i="13"/>
  <c r="A81" i="13"/>
  <c r="B45" i="13"/>
  <c r="B48" i="13"/>
  <c r="B51" i="13"/>
  <c r="A80" i="13"/>
  <c r="A79" i="13"/>
  <c r="B69" i="11"/>
  <c r="B72" i="11"/>
  <c r="B75" i="11"/>
  <c r="A82" i="11"/>
  <c r="A81" i="11"/>
  <c r="B45" i="11"/>
  <c r="B48" i="11"/>
  <c r="B51" i="11"/>
  <c r="A80" i="11"/>
  <c r="A79" i="11"/>
  <c r="B69" i="10"/>
  <c r="B72" i="10"/>
  <c r="B75" i="10"/>
  <c r="A82" i="10"/>
  <c r="A81" i="10"/>
  <c r="B45" i="10"/>
  <c r="B48" i="10"/>
  <c r="B51" i="10"/>
  <c r="A80" i="10"/>
  <c r="A79" i="10"/>
  <c r="B69" i="9"/>
  <c r="B72" i="9"/>
  <c r="B75" i="9"/>
  <c r="F91" i="14"/>
  <c r="F119" i="14" s="1"/>
  <c r="F96" i="14"/>
  <c r="F100" i="14"/>
  <c r="F121" i="14" s="1"/>
  <c r="F112" i="14"/>
  <c r="E91" i="14"/>
  <c r="E119" i="14" s="1"/>
  <c r="E96" i="14"/>
  <c r="E100" i="14"/>
  <c r="E121" i="14" s="1"/>
  <c r="E112" i="14"/>
  <c r="D91" i="14"/>
  <c r="D119" i="14" s="1"/>
  <c r="D96" i="14"/>
  <c r="D100" i="14"/>
  <c r="D121" i="14" s="1"/>
  <c r="D112" i="14"/>
  <c r="C91" i="14"/>
  <c r="C96" i="14"/>
  <c r="C100" i="14"/>
  <c r="C121" i="14" s="1"/>
  <c r="C112" i="14"/>
  <c r="C119" i="14"/>
  <c r="B91" i="14"/>
  <c r="B96" i="14"/>
  <c r="B100" i="14"/>
  <c r="B121" i="14" s="1"/>
  <c r="B112" i="14"/>
  <c r="F91" i="13"/>
  <c r="F119" i="13" s="1"/>
  <c r="F96" i="13"/>
  <c r="F100" i="13"/>
  <c r="F121" i="13" s="1"/>
  <c r="F112" i="13"/>
  <c r="E91" i="13"/>
  <c r="E119" i="13" s="1"/>
  <c r="E96" i="13"/>
  <c r="E100" i="13"/>
  <c r="E121" i="13" s="1"/>
  <c r="E112" i="13"/>
  <c r="D91" i="13"/>
  <c r="D119" i="13" s="1"/>
  <c r="D96" i="13"/>
  <c r="D100" i="13"/>
  <c r="D121" i="13" s="1"/>
  <c r="D112" i="13"/>
  <c r="C91" i="13"/>
  <c r="C119" i="13" s="1"/>
  <c r="C96" i="13"/>
  <c r="C100" i="13"/>
  <c r="C121" i="13" s="1"/>
  <c r="C112" i="13"/>
  <c r="B91" i="13"/>
  <c r="B119" i="13" s="1"/>
  <c r="B96" i="13"/>
  <c r="B100" i="13"/>
  <c r="B121" i="13" s="1"/>
  <c r="B112" i="13"/>
  <c r="F91" i="11"/>
  <c r="F119" i="11" s="1"/>
  <c r="F96" i="11"/>
  <c r="F100" i="11"/>
  <c r="F121" i="11" s="1"/>
  <c r="F112" i="11"/>
  <c r="E91" i="11"/>
  <c r="E119" i="11" s="1"/>
  <c r="E96" i="11"/>
  <c r="E100" i="11"/>
  <c r="E121" i="11" s="1"/>
  <c r="E112" i="11"/>
  <c r="D91" i="11"/>
  <c r="D119" i="11" s="1"/>
  <c r="D96" i="11"/>
  <c r="D100" i="11"/>
  <c r="D121" i="11" s="1"/>
  <c r="D112" i="11"/>
  <c r="C91" i="11"/>
  <c r="C119" i="11" s="1"/>
  <c r="C96" i="11"/>
  <c r="C100" i="11"/>
  <c r="C121" i="11" s="1"/>
  <c r="C112" i="11"/>
  <c r="B91" i="11"/>
  <c r="B119" i="11" s="1"/>
  <c r="B96" i="11"/>
  <c r="B100" i="11"/>
  <c r="B121" i="11" s="1"/>
  <c r="B112" i="11"/>
  <c r="F91" i="10"/>
  <c r="F119" i="10" s="1"/>
  <c r="F96" i="10"/>
  <c r="F100" i="10"/>
  <c r="F121" i="10" s="1"/>
  <c r="F112" i="10"/>
  <c r="E91" i="10"/>
  <c r="E119" i="10" s="1"/>
  <c r="E96" i="10"/>
  <c r="E100" i="10"/>
  <c r="E121" i="10" s="1"/>
  <c r="E112" i="10"/>
  <c r="D91" i="10"/>
  <c r="D119" i="10" s="1"/>
  <c r="D96" i="10"/>
  <c r="D100" i="10"/>
  <c r="D121" i="10" s="1"/>
  <c r="D112" i="10"/>
  <c r="C91" i="10"/>
  <c r="C119" i="10" s="1"/>
  <c r="C96" i="10"/>
  <c r="C100" i="10"/>
  <c r="C121" i="10" s="1"/>
  <c r="C112" i="10"/>
  <c r="B91" i="10"/>
  <c r="B119" i="10" s="1"/>
  <c r="B96" i="10"/>
  <c r="B100" i="10"/>
  <c r="B121" i="10" s="1"/>
  <c r="B112" i="10"/>
  <c r="C100" i="9"/>
  <c r="C121" i="9" s="1"/>
  <c r="D100" i="9"/>
  <c r="E100" i="9"/>
  <c r="E121" i="9" s="1"/>
  <c r="F100" i="9"/>
  <c r="F121" i="9" s="1"/>
  <c r="B100" i="9"/>
  <c r="C91" i="9"/>
  <c r="C119" i="9" s="1"/>
  <c r="D91" i="9"/>
  <c r="D119" i="9" s="1"/>
  <c r="E91" i="9"/>
  <c r="E119" i="9" s="1"/>
  <c r="F91" i="9"/>
  <c r="F119" i="9" s="1"/>
  <c r="B91" i="9"/>
  <c r="C96" i="9"/>
  <c r="D96" i="9"/>
  <c r="E96" i="9"/>
  <c r="F96" i="9"/>
  <c r="B96" i="9"/>
  <c r="J3" i="14"/>
  <c r="P2" i="14" s="1"/>
  <c r="P3" i="14" s="1"/>
  <c r="J3" i="13"/>
  <c r="P2" i="13" s="1"/>
  <c r="J3" i="11"/>
  <c r="P2" i="11" s="1"/>
  <c r="P3" i="11" s="1"/>
  <c r="J3" i="10"/>
  <c r="P2" i="10" s="1"/>
  <c r="P3" i="10" s="1"/>
  <c r="J75" i="1"/>
  <c r="J79" i="1"/>
  <c r="J83" i="1"/>
  <c r="O9" i="1"/>
  <c r="O10" i="1"/>
  <c r="B10" i="1" s="1"/>
  <c r="B11" i="1"/>
  <c r="O14" i="1"/>
  <c r="B14" i="1" s="1"/>
  <c r="O15" i="1"/>
  <c r="B15" i="1" s="1"/>
  <c r="B16" i="1"/>
  <c r="O19" i="1"/>
  <c r="B19" i="1" s="1"/>
  <c r="O20" i="1"/>
  <c r="B20" i="1" s="1"/>
  <c r="B21" i="1"/>
  <c r="O24" i="1"/>
  <c r="B24" i="1" s="1"/>
  <c r="O25" i="1"/>
  <c r="B25" i="1" s="1"/>
  <c r="B26" i="1"/>
  <c r="O29" i="1"/>
  <c r="B29" i="1" s="1"/>
  <c r="O30" i="1"/>
  <c r="B30" i="1" s="1"/>
  <c r="B31" i="1"/>
  <c r="O34" i="1"/>
  <c r="B34" i="1" s="1"/>
  <c r="O35" i="1"/>
  <c r="B35" i="1" s="1"/>
  <c r="B36" i="1"/>
  <c r="O39" i="1"/>
  <c r="B39" i="1" s="1"/>
  <c r="O40" i="1"/>
  <c r="B40" i="1" s="1"/>
  <c r="B41" i="1"/>
  <c r="O44" i="1"/>
  <c r="B44" i="1" s="1"/>
  <c r="O45" i="1"/>
  <c r="B45" i="1" s="1"/>
  <c r="B46" i="1"/>
  <c r="O49" i="1"/>
  <c r="B49" i="1" s="1"/>
  <c r="O50" i="1"/>
  <c r="B50" i="1" s="1"/>
  <c r="B51" i="1"/>
  <c r="O54" i="1"/>
  <c r="O55" i="1"/>
  <c r="B55" i="1" s="1"/>
  <c r="B55" i="16" s="1"/>
  <c r="B56" i="1"/>
  <c r="B56" i="16" s="1"/>
  <c r="O59" i="1"/>
  <c r="B59" i="1" s="1"/>
  <c r="B59" i="16" s="1"/>
  <c r="O60" i="1"/>
  <c r="B60" i="1" s="1"/>
  <c r="B60" i="16" s="1"/>
  <c r="B61" i="1"/>
  <c r="B61" i="16" s="1"/>
  <c r="O64" i="1"/>
  <c r="B64" i="1" s="1"/>
  <c r="B64" i="16" s="1"/>
  <c r="O65" i="1"/>
  <c r="B65" i="1" s="1"/>
  <c r="B65" i="16" s="1"/>
  <c r="B66" i="1"/>
  <c r="B66" i="16" s="1"/>
  <c r="B86" i="1"/>
  <c r="B87" i="1"/>
  <c r="B92" i="1"/>
  <c r="B93" i="1"/>
  <c r="B98" i="1"/>
  <c r="B99" i="1"/>
  <c r="O103" i="1"/>
  <c r="A104" i="1" s="1"/>
  <c r="O107" i="1"/>
  <c r="B108" i="1" s="1"/>
  <c r="J109" i="1" s="1"/>
  <c r="O111" i="1"/>
  <c r="B112" i="1" s="1"/>
  <c r="J113" i="1" s="1"/>
  <c r="J63" i="1"/>
  <c r="J58" i="1"/>
  <c r="J53" i="1"/>
  <c r="J48" i="1"/>
  <c r="J43" i="1"/>
  <c r="J38" i="1"/>
  <c r="B119" i="9"/>
  <c r="J84" i="1"/>
  <c r="J90" i="1"/>
  <c r="J96" i="1"/>
  <c r="B129" i="1"/>
  <c r="B164" i="1" s="1"/>
  <c r="C129" i="1"/>
  <c r="C164" i="1" s="1"/>
  <c r="D121" i="9"/>
  <c r="D129" i="1"/>
  <c r="D164" i="1" s="1"/>
  <c r="E129" i="1"/>
  <c r="E164" i="1" s="1"/>
  <c r="F129" i="1"/>
  <c r="A171" i="1"/>
  <c r="A170" i="1"/>
  <c r="A150" i="1"/>
  <c r="A126" i="14"/>
  <c r="G122" i="14"/>
  <c r="G111" i="14"/>
  <c r="G110" i="14"/>
  <c r="G109" i="14"/>
  <c r="G108" i="14"/>
  <c r="G107" i="14"/>
  <c r="G106" i="14"/>
  <c r="G104" i="14"/>
  <c r="G99" i="14"/>
  <c r="G95" i="14"/>
  <c r="G94" i="14"/>
  <c r="G90" i="14"/>
  <c r="G89" i="14"/>
  <c r="G88" i="14"/>
  <c r="A75" i="14"/>
  <c r="A74" i="14"/>
  <c r="A72" i="14"/>
  <c r="A71" i="14"/>
  <c r="A69" i="14"/>
  <c r="A68" i="14"/>
  <c r="J63" i="14"/>
  <c r="A51" i="14"/>
  <c r="A50" i="14"/>
  <c r="A48" i="14"/>
  <c r="A47" i="14"/>
  <c r="A45" i="14"/>
  <c r="A44" i="14"/>
  <c r="V41" i="14"/>
  <c r="J37" i="14"/>
  <c r="V35" i="14"/>
  <c r="J31" i="14"/>
  <c r="V29" i="14"/>
  <c r="J25" i="14"/>
  <c r="V23" i="14"/>
  <c r="J19" i="14"/>
  <c r="V17" i="14"/>
  <c r="J13" i="14"/>
  <c r="V11" i="14"/>
  <c r="J7" i="14"/>
  <c r="A126" i="13"/>
  <c r="G122" i="13"/>
  <c r="G111" i="13"/>
  <c r="G110" i="13"/>
  <c r="G109" i="13"/>
  <c r="G108" i="13"/>
  <c r="G107" i="13"/>
  <c r="G106" i="13"/>
  <c r="G104" i="13"/>
  <c r="G99" i="13"/>
  <c r="G95" i="13"/>
  <c r="G94" i="13"/>
  <c r="G90" i="13"/>
  <c r="G89" i="13"/>
  <c r="G88" i="13"/>
  <c r="A75" i="13"/>
  <c r="A74" i="13"/>
  <c r="A72" i="13"/>
  <c r="A71" i="13"/>
  <c r="A69" i="13"/>
  <c r="A68" i="13"/>
  <c r="J63" i="13"/>
  <c r="A51" i="13"/>
  <c r="A50" i="13"/>
  <c r="A48" i="13"/>
  <c r="A47" i="13"/>
  <c r="A45" i="13"/>
  <c r="A44" i="13"/>
  <c r="V41" i="13"/>
  <c r="J37" i="13"/>
  <c r="V35" i="13"/>
  <c r="J31" i="13"/>
  <c r="V29" i="13"/>
  <c r="J25" i="13"/>
  <c r="V23" i="13"/>
  <c r="J19" i="13"/>
  <c r="V17" i="13"/>
  <c r="J13" i="13"/>
  <c r="V11" i="13"/>
  <c r="J7" i="13"/>
  <c r="J63" i="11"/>
  <c r="J63" i="10"/>
  <c r="A126" i="11"/>
  <c r="A75" i="11"/>
  <c r="A74" i="11"/>
  <c r="A72" i="11"/>
  <c r="A71" i="11"/>
  <c r="A69" i="11"/>
  <c r="A68" i="11"/>
  <c r="A51" i="11"/>
  <c r="A50" i="11"/>
  <c r="A48" i="11"/>
  <c r="A47" i="11"/>
  <c r="A45" i="11"/>
  <c r="A44" i="11"/>
  <c r="A126" i="10"/>
  <c r="A75" i="10"/>
  <c r="A74" i="10"/>
  <c r="A72" i="10"/>
  <c r="A71" i="10"/>
  <c r="A69" i="10"/>
  <c r="A68" i="10"/>
  <c r="A51" i="10"/>
  <c r="A50" i="10"/>
  <c r="A48" i="10"/>
  <c r="A47" i="10"/>
  <c r="A45" i="10"/>
  <c r="A44" i="10"/>
  <c r="J97" i="1"/>
  <c r="J91" i="1"/>
  <c r="J85" i="1"/>
  <c r="J33" i="1"/>
  <c r="J28" i="1"/>
  <c r="J23" i="1"/>
  <c r="J18" i="1"/>
  <c r="J13" i="1"/>
  <c r="J8" i="1"/>
  <c r="J81" i="1"/>
  <c r="J77" i="1"/>
  <c r="J73" i="1"/>
  <c r="J69" i="1"/>
  <c r="B51" i="9"/>
  <c r="B48" i="9"/>
  <c r="B45" i="9"/>
  <c r="A51" i="9"/>
  <c r="A50" i="9"/>
  <c r="A48" i="9"/>
  <c r="A47" i="9"/>
  <c r="A45" i="9"/>
  <c r="A44" i="9"/>
  <c r="J37" i="11"/>
  <c r="J31" i="11"/>
  <c r="J25" i="11"/>
  <c r="J19" i="11"/>
  <c r="J13" i="11"/>
  <c r="J37" i="10"/>
  <c r="J31" i="10"/>
  <c r="J25" i="10"/>
  <c r="J19" i="10"/>
  <c r="J13" i="10"/>
  <c r="J37" i="9"/>
  <c r="J31" i="9"/>
  <c r="J25" i="9"/>
  <c r="J19" i="9"/>
  <c r="J13" i="9"/>
  <c r="O65" i="9"/>
  <c r="B65" i="9" s="1"/>
  <c r="O64" i="9"/>
  <c r="B64" i="9" s="1"/>
  <c r="O60" i="9"/>
  <c r="B60" i="9" s="1"/>
  <c r="O59" i="9"/>
  <c r="B59" i="9" s="1"/>
  <c r="O55" i="9"/>
  <c r="B55" i="9" s="1"/>
  <c r="O54" i="9"/>
  <c r="B54" i="9" s="1"/>
  <c r="A169" i="1"/>
  <c r="A168" i="1"/>
  <c r="A167" i="1"/>
  <c r="A175" i="1"/>
  <c r="G122" i="11"/>
  <c r="G111" i="11"/>
  <c r="G110" i="11"/>
  <c r="G109" i="11"/>
  <c r="G108" i="11"/>
  <c r="G107" i="11"/>
  <c r="G106" i="11"/>
  <c r="G104" i="11"/>
  <c r="G99" i="11"/>
  <c r="G122" i="10"/>
  <c r="G111" i="10"/>
  <c r="G110" i="10"/>
  <c r="G109" i="10"/>
  <c r="G108" i="10"/>
  <c r="G107" i="10"/>
  <c r="G106" i="10"/>
  <c r="G104" i="10"/>
  <c r="G99" i="10"/>
  <c r="J7" i="11"/>
  <c r="J7" i="10"/>
  <c r="J63" i="9"/>
  <c r="J58" i="9"/>
  <c r="J53" i="9"/>
  <c r="O38" i="9"/>
  <c r="B38" i="9" s="1"/>
  <c r="O39" i="9"/>
  <c r="B39" i="9" s="1"/>
  <c r="O32" i="9"/>
  <c r="B32" i="9" s="1"/>
  <c r="O33" i="9"/>
  <c r="B33" i="9" s="1"/>
  <c r="O26" i="9"/>
  <c r="B26" i="9" s="1"/>
  <c r="O27" i="9"/>
  <c r="B27" i="9" s="1"/>
  <c r="O20" i="9"/>
  <c r="B20" i="9" s="1"/>
  <c r="O21" i="9"/>
  <c r="B21" i="9" s="1"/>
  <c r="O14" i="9"/>
  <c r="B14" i="9" s="1"/>
  <c r="O15" i="9"/>
  <c r="B15" i="9" s="1"/>
  <c r="O8" i="9"/>
  <c r="B8" i="9" s="1"/>
  <c r="O9" i="9"/>
  <c r="B9" i="9" s="1"/>
  <c r="J7" i="9"/>
  <c r="X5" i="5"/>
  <c r="Y5" i="5" s="1"/>
  <c r="X6" i="5"/>
  <c r="Y6" i="5" s="1"/>
  <c r="X7" i="5"/>
  <c r="Y7" i="5" s="1"/>
  <c r="X8" i="5"/>
  <c r="Y8" i="5" s="1"/>
  <c r="X9" i="5"/>
  <c r="Y9" i="5" s="1"/>
  <c r="X15" i="5"/>
  <c r="Y15" i="5" s="1"/>
  <c r="X16" i="5"/>
  <c r="Y16" i="5" s="1"/>
  <c r="X17" i="5"/>
  <c r="Y17" i="5" s="1"/>
  <c r="X18" i="5"/>
  <c r="Y18" i="5" s="1"/>
  <c r="X19" i="5"/>
  <c r="Y19" i="5" s="1"/>
  <c r="X25" i="5"/>
  <c r="Y25" i="5" s="1"/>
  <c r="X26" i="5"/>
  <c r="Y26" i="5" s="1"/>
  <c r="X27" i="5"/>
  <c r="Y27" i="5" s="1"/>
  <c r="X28" i="5"/>
  <c r="Y28" i="5" s="1"/>
  <c r="X29" i="5"/>
  <c r="Y29" i="5" s="1"/>
  <c r="X35" i="5"/>
  <c r="Y35" i="5" s="1"/>
  <c r="X36" i="5"/>
  <c r="Y36" i="5" s="1"/>
  <c r="X37" i="5"/>
  <c r="Y37" i="5" s="1"/>
  <c r="X38" i="5"/>
  <c r="Y38" i="5" s="1"/>
  <c r="X39" i="5"/>
  <c r="Y39" i="5" s="1"/>
  <c r="X45" i="5"/>
  <c r="Y45" i="5" s="1"/>
  <c r="X46" i="5"/>
  <c r="Y46" i="5" s="1"/>
  <c r="X47" i="5"/>
  <c r="Y47" i="5" s="1"/>
  <c r="X48" i="5"/>
  <c r="Y48" i="5" s="1"/>
  <c r="X49" i="5"/>
  <c r="Y49" i="5" s="1"/>
  <c r="A75" i="9"/>
  <c r="A74" i="9"/>
  <c r="A72" i="9"/>
  <c r="A71" i="9"/>
  <c r="A69" i="9"/>
  <c r="A68" i="9"/>
  <c r="A126" i="9"/>
  <c r="A149" i="1"/>
  <c r="A148" i="1"/>
  <c r="A147" i="1"/>
  <c r="A146" i="1"/>
  <c r="A145" i="1"/>
  <c r="A144" i="1"/>
  <c r="B112" i="9"/>
  <c r="C112" i="9"/>
  <c r="D112" i="9"/>
  <c r="E112" i="9"/>
  <c r="F112" i="9"/>
  <c r="G95" i="11"/>
  <c r="G94" i="11"/>
  <c r="G90" i="11"/>
  <c r="G89" i="11"/>
  <c r="G88" i="11"/>
  <c r="V41" i="11"/>
  <c r="V11" i="11"/>
  <c r="V35" i="11"/>
  <c r="V29" i="11"/>
  <c r="V23" i="11"/>
  <c r="V17" i="11"/>
  <c r="G95" i="10"/>
  <c r="G94" i="10"/>
  <c r="G90" i="10"/>
  <c r="G89" i="10"/>
  <c r="G88" i="10"/>
  <c r="V41" i="10"/>
  <c r="V11" i="10"/>
  <c r="V35" i="10"/>
  <c r="V29" i="10"/>
  <c r="V23" i="10"/>
  <c r="V17" i="10"/>
  <c r="A82" i="9"/>
  <c r="A81" i="9"/>
  <c r="A80" i="9"/>
  <c r="A79" i="9"/>
  <c r="A118" i="1"/>
  <c r="A119" i="1"/>
  <c r="A120" i="1"/>
  <c r="V41" i="9"/>
  <c r="V35" i="9"/>
  <c r="V29" i="9"/>
  <c r="V23" i="9"/>
  <c r="V17" i="9"/>
  <c r="K49" i="5"/>
  <c r="L49" i="5" s="1"/>
  <c r="K48" i="5"/>
  <c r="L48" i="5" s="1"/>
  <c r="K47" i="5"/>
  <c r="L47" i="5" s="1"/>
  <c r="K46" i="5"/>
  <c r="L46" i="5" s="1"/>
  <c r="K45" i="5"/>
  <c r="L45" i="5" s="1"/>
  <c r="K39" i="5"/>
  <c r="L39" i="5" s="1"/>
  <c r="K38" i="5"/>
  <c r="L38" i="5" s="1"/>
  <c r="K37" i="5"/>
  <c r="L37" i="5" s="1"/>
  <c r="K36" i="5"/>
  <c r="L36" i="5" s="1"/>
  <c r="K35" i="5"/>
  <c r="L35" i="5" s="1"/>
  <c r="K29" i="5"/>
  <c r="L29" i="5" s="1"/>
  <c r="K28" i="5"/>
  <c r="L28" i="5" s="1"/>
  <c r="K27" i="5"/>
  <c r="L27" i="5" s="1"/>
  <c r="K26" i="5"/>
  <c r="L26" i="5" s="1"/>
  <c r="K25" i="5"/>
  <c r="L25" i="5" s="1"/>
  <c r="K19" i="5"/>
  <c r="L19" i="5" s="1"/>
  <c r="K18" i="5"/>
  <c r="L18" i="5" s="1"/>
  <c r="K17" i="5"/>
  <c r="L17" i="5" s="1"/>
  <c r="K16" i="5"/>
  <c r="L16" i="5" s="1"/>
  <c r="K15" i="5"/>
  <c r="L15" i="5" s="1"/>
  <c r="K9" i="5"/>
  <c r="L9" i="5" s="1"/>
  <c r="K8" i="5"/>
  <c r="L8" i="5" s="1"/>
  <c r="K7" i="5"/>
  <c r="L7" i="5" s="1"/>
  <c r="K6" i="5"/>
  <c r="L6" i="5" s="1"/>
  <c r="K5" i="5"/>
  <c r="L5" i="5" s="1"/>
  <c r="E5" i="12"/>
  <c r="E6" i="12"/>
  <c r="E7" i="12"/>
  <c r="E8" i="12"/>
  <c r="E9" i="12"/>
  <c r="E10" i="12"/>
  <c r="E11" i="12"/>
  <c r="E12" i="12"/>
  <c r="E13" i="12"/>
  <c r="E14" i="12"/>
  <c r="E20" i="12"/>
  <c r="E21" i="12"/>
  <c r="E22" i="12"/>
  <c r="E23" i="12"/>
  <c r="E24" i="12"/>
  <c r="E25" i="12"/>
  <c r="E26" i="12"/>
  <c r="E27" i="12"/>
  <c r="E28" i="12"/>
  <c r="E29" i="12"/>
  <c r="E35" i="12"/>
  <c r="E36" i="12"/>
  <c r="E37" i="12"/>
  <c r="E38" i="12"/>
  <c r="E39" i="12"/>
  <c r="E40" i="12"/>
  <c r="E41" i="12"/>
  <c r="E42" i="12"/>
  <c r="E43" i="12"/>
  <c r="E44" i="12"/>
  <c r="E50" i="12"/>
  <c r="E51" i="12"/>
  <c r="E52" i="12"/>
  <c r="E53" i="12"/>
  <c r="E54" i="12"/>
  <c r="E55" i="12"/>
  <c r="E56" i="12"/>
  <c r="E57" i="12"/>
  <c r="E58" i="12"/>
  <c r="E59" i="12"/>
  <c r="E65" i="12"/>
  <c r="E66" i="12"/>
  <c r="E67" i="12"/>
  <c r="E68" i="12"/>
  <c r="E69" i="12"/>
  <c r="E70" i="12"/>
  <c r="E71" i="12"/>
  <c r="E72" i="12"/>
  <c r="E73" i="12"/>
  <c r="E74" i="12"/>
  <c r="G111" i="9"/>
  <c r="G110" i="9"/>
  <c r="G109" i="9"/>
  <c r="G108" i="9"/>
  <c r="G107" i="9"/>
  <c r="G106" i="9"/>
  <c r="G99" i="9"/>
  <c r="G104" i="9"/>
  <c r="G90" i="9"/>
  <c r="G89" i="9"/>
  <c r="G88" i="9"/>
  <c r="G95" i="9"/>
  <c r="G94" i="9"/>
  <c r="E74" i="7"/>
  <c r="E73" i="7"/>
  <c r="E72" i="7"/>
  <c r="E71" i="7"/>
  <c r="E70" i="7"/>
  <c r="E59" i="7"/>
  <c r="E58" i="7"/>
  <c r="E57" i="7"/>
  <c r="E56" i="7"/>
  <c r="E55" i="7"/>
  <c r="E44" i="7"/>
  <c r="E43" i="7"/>
  <c r="E42" i="7"/>
  <c r="E41" i="7"/>
  <c r="E40" i="7"/>
  <c r="E29" i="7"/>
  <c r="E28" i="7"/>
  <c r="E27" i="7"/>
  <c r="E26" i="7"/>
  <c r="E25" i="7"/>
  <c r="E14" i="7"/>
  <c r="E13" i="7"/>
  <c r="E12" i="7"/>
  <c r="E11" i="7"/>
  <c r="E10" i="7"/>
  <c r="E5" i="7"/>
  <c r="E6" i="7"/>
  <c r="E7" i="7"/>
  <c r="E8" i="7"/>
  <c r="E9" i="7"/>
  <c r="G128" i="1"/>
  <c r="E20" i="7"/>
  <c r="E21" i="7"/>
  <c r="E22" i="7"/>
  <c r="E23" i="7"/>
  <c r="E24" i="7"/>
  <c r="E35" i="7"/>
  <c r="E36" i="7"/>
  <c r="E37" i="7"/>
  <c r="E38" i="7"/>
  <c r="E39" i="7"/>
  <c r="E50" i="7"/>
  <c r="E51" i="7"/>
  <c r="E52" i="7"/>
  <c r="E53" i="7"/>
  <c r="E54" i="7"/>
  <c r="E65" i="7"/>
  <c r="E66" i="7"/>
  <c r="E67" i="7"/>
  <c r="E68" i="7"/>
  <c r="E69" i="7"/>
  <c r="P3" i="1"/>
  <c r="P4" i="1" s="1"/>
  <c r="G127" i="1"/>
  <c r="G126" i="1"/>
  <c r="B54" i="1" l="1"/>
  <c r="B54" i="16" s="1"/>
  <c r="J101" i="1"/>
  <c r="B79" i="9"/>
  <c r="J11" i="9"/>
  <c r="J184" i="1"/>
  <c r="P5" i="1"/>
  <c r="G91" i="11"/>
  <c r="B82" i="14"/>
  <c r="G100" i="10"/>
  <c r="G91" i="14"/>
  <c r="G96" i="13"/>
  <c r="B119" i="14"/>
  <c r="G119" i="14" s="1"/>
  <c r="B103" i="11"/>
  <c r="B114" i="11" s="1"/>
  <c r="G121" i="13"/>
  <c r="L30" i="5"/>
  <c r="D132" i="1" s="1"/>
  <c r="J67" i="16"/>
  <c r="G119" i="10"/>
  <c r="G91" i="10"/>
  <c r="G96" i="11"/>
  <c r="E60" i="7"/>
  <c r="E142" i="1" s="1"/>
  <c r="E15" i="7"/>
  <c r="Y40" i="5"/>
  <c r="E133" i="1" s="1"/>
  <c r="G121" i="11"/>
  <c r="G119" i="11"/>
  <c r="B103" i="13"/>
  <c r="G119" i="13"/>
  <c r="G91" i="13"/>
  <c r="B103" i="14"/>
  <c r="B120" i="14" s="1"/>
  <c r="J62" i="16"/>
  <c r="P4" i="14"/>
  <c r="J23" i="11"/>
  <c r="J41" i="11"/>
  <c r="A108" i="1"/>
  <c r="J29" i="14"/>
  <c r="J11" i="14"/>
  <c r="J23" i="10"/>
  <c r="J22" i="1"/>
  <c r="J62" i="1"/>
  <c r="E75" i="12"/>
  <c r="F137" i="1" s="1"/>
  <c r="F138" i="1" s="1"/>
  <c r="F166" i="1" s="1"/>
  <c r="L20" i="5"/>
  <c r="C132" i="1" s="1"/>
  <c r="Y20" i="5"/>
  <c r="C133" i="1" s="1"/>
  <c r="G112" i="10"/>
  <c r="E30" i="7"/>
  <c r="C142" i="1" s="1"/>
  <c r="E45" i="12"/>
  <c r="D137" i="1" s="1"/>
  <c r="D138" i="1" s="1"/>
  <c r="D166" i="1" s="1"/>
  <c r="Y10" i="5"/>
  <c r="B133" i="1" s="1"/>
  <c r="F164" i="1"/>
  <c r="G164" i="1" s="1"/>
  <c r="G129" i="1"/>
  <c r="A112" i="1"/>
  <c r="G100" i="13"/>
  <c r="G121" i="10"/>
  <c r="G96" i="10"/>
  <c r="J35" i="11"/>
  <c r="G100" i="11"/>
  <c r="J35" i="14"/>
  <c r="J95" i="1"/>
  <c r="G112" i="11"/>
  <c r="J41" i="10"/>
  <c r="J35" i="13"/>
  <c r="B81" i="13"/>
  <c r="J11" i="13"/>
  <c r="J23" i="13"/>
  <c r="G112" i="13"/>
  <c r="B80" i="13"/>
  <c r="L50" i="5"/>
  <c r="F132" i="1" s="1"/>
  <c r="J35" i="10"/>
  <c r="G96" i="14"/>
  <c r="B82" i="10"/>
  <c r="J17" i="11"/>
  <c r="B80" i="14"/>
  <c r="E75" i="7"/>
  <c r="F142" i="1" s="1"/>
  <c r="G121" i="14"/>
  <c r="E45" i="7"/>
  <c r="D142" i="1" s="1"/>
  <c r="E15" i="12"/>
  <c r="Y50" i="5"/>
  <c r="F133" i="1" s="1"/>
  <c r="J89" i="1"/>
  <c r="Y30" i="5"/>
  <c r="D133" i="1" s="1"/>
  <c r="J11" i="10"/>
  <c r="B79" i="10"/>
  <c r="E60" i="12"/>
  <c r="E137" i="1" s="1"/>
  <c r="E138" i="1" s="1"/>
  <c r="E166" i="1" s="1"/>
  <c r="E30" i="12"/>
  <c r="C137" i="1" s="1"/>
  <c r="C138" i="1" s="1"/>
  <c r="C166" i="1" s="1"/>
  <c r="L10" i="5"/>
  <c r="B132" i="1" s="1"/>
  <c r="L40" i="5"/>
  <c r="E132" i="1" s="1"/>
  <c r="J17" i="10"/>
  <c r="B81" i="10"/>
  <c r="B79" i="13"/>
  <c r="J17" i="13"/>
  <c r="J29" i="13"/>
  <c r="J41" i="13"/>
  <c r="B76" i="14"/>
  <c r="B80" i="10"/>
  <c r="B82" i="13"/>
  <c r="J41" i="14"/>
  <c r="G100" i="14"/>
  <c r="G112" i="14"/>
  <c r="B104" i="1"/>
  <c r="J37" i="1"/>
  <c r="B80" i="11"/>
  <c r="B81" i="11"/>
  <c r="J23" i="14"/>
  <c r="J29" i="10"/>
  <c r="B76" i="10"/>
  <c r="B81" i="14"/>
  <c r="B114" i="13"/>
  <c r="J27" i="1"/>
  <c r="J17" i="1"/>
  <c r="J5" i="9"/>
  <c r="K51" i="9" s="1"/>
  <c r="G96" i="9"/>
  <c r="B82" i="9"/>
  <c r="J29" i="11"/>
  <c r="B76" i="11"/>
  <c r="B82" i="11"/>
  <c r="J17" i="14"/>
  <c r="B79" i="14"/>
  <c r="B120" i="13"/>
  <c r="B76" i="13"/>
  <c r="J11" i="11"/>
  <c r="B79" i="11"/>
  <c r="B114" i="10"/>
  <c r="B103" i="9"/>
  <c r="B120" i="9" s="1"/>
  <c r="G112" i="9"/>
  <c r="G100" i="9"/>
  <c r="G91" i="9"/>
  <c r="B80" i="9"/>
  <c r="G119" i="9"/>
  <c r="J35" i="9"/>
  <c r="J41" i="9"/>
  <c r="B121" i="9"/>
  <c r="G121" i="9" s="1"/>
  <c r="B81" i="9"/>
  <c r="J29" i="9"/>
  <c r="J23" i="9"/>
  <c r="P2" i="9"/>
  <c r="P3" i="9" s="1"/>
  <c r="P4" i="9" s="1"/>
  <c r="J17" i="9"/>
  <c r="B76" i="9"/>
  <c r="J42" i="1"/>
  <c r="P3" i="13"/>
  <c r="P4" i="13" s="1"/>
  <c r="B9" i="1"/>
  <c r="B117" i="1" s="1"/>
  <c r="J32" i="1"/>
  <c r="P4" i="10"/>
  <c r="P4" i="11"/>
  <c r="J5" i="10"/>
  <c r="K40" i="10" s="1"/>
  <c r="K112" i="1"/>
  <c r="K94" i="1"/>
  <c r="C94" i="1" s="1"/>
  <c r="K35" i="1"/>
  <c r="C35" i="1" s="1"/>
  <c r="K14" i="1"/>
  <c r="C14" i="1" s="1"/>
  <c r="A4" i="1"/>
  <c r="K82" i="1"/>
  <c r="K29" i="1"/>
  <c r="L29" i="1" s="1"/>
  <c r="K10" i="1"/>
  <c r="K26" i="1"/>
  <c r="L26" i="1" s="1"/>
  <c r="K87" i="1"/>
  <c r="K36" i="1"/>
  <c r="L36" i="1" s="1"/>
  <c r="M36" i="1" s="1"/>
  <c r="E36" i="1" s="1"/>
  <c r="K24" i="1"/>
  <c r="C24" i="1" s="1"/>
  <c r="K39" i="1"/>
  <c r="L39" i="1" s="1"/>
  <c r="K51" i="1"/>
  <c r="K64" i="1"/>
  <c r="J57" i="1"/>
  <c r="J71" i="1"/>
  <c r="J47" i="1"/>
  <c r="K99" i="1"/>
  <c r="C99" i="1" s="1"/>
  <c r="K34" i="1"/>
  <c r="K40" i="1"/>
  <c r="L40" i="1" s="1"/>
  <c r="M40" i="1" s="1"/>
  <c r="K60" i="1"/>
  <c r="J67" i="1"/>
  <c r="K50" i="1"/>
  <c r="L50" i="1" s="1"/>
  <c r="M50" i="1" s="1"/>
  <c r="E50" i="1" s="1"/>
  <c r="K61" i="1"/>
  <c r="K44" i="1"/>
  <c r="C44" i="1" s="1"/>
  <c r="K41" i="1"/>
  <c r="L41" i="1" s="1"/>
  <c r="K11" i="1"/>
  <c r="C11" i="1" s="1"/>
  <c r="K25" i="1"/>
  <c r="K70" i="1"/>
  <c r="C70" i="1" s="1"/>
  <c r="K86" i="1"/>
  <c r="C86" i="1" s="1"/>
  <c r="K93" i="1"/>
  <c r="C93" i="1" s="1"/>
  <c r="K100" i="1"/>
  <c r="C100" i="1" s="1"/>
  <c r="K65" i="1"/>
  <c r="K55" i="1"/>
  <c r="K15" i="1"/>
  <c r="L15" i="1" s="1"/>
  <c r="K66" i="1"/>
  <c r="K56" i="1"/>
  <c r="K45" i="1"/>
  <c r="K16" i="1"/>
  <c r="K30" i="1"/>
  <c r="L30" i="1" s="1"/>
  <c r="K59" i="1"/>
  <c r="K49" i="1"/>
  <c r="C49" i="1" s="1"/>
  <c r="K46" i="1"/>
  <c r="L46" i="1" s="1"/>
  <c r="K19" i="1"/>
  <c r="K31" i="1"/>
  <c r="K78" i="1"/>
  <c r="C78" i="1" s="1"/>
  <c r="K88" i="1"/>
  <c r="C88" i="1" s="1"/>
  <c r="K98" i="1"/>
  <c r="K108" i="1"/>
  <c r="C74" i="1"/>
  <c r="K21" i="1"/>
  <c r="C21" i="1" s="1"/>
  <c r="J52" i="1"/>
  <c r="K104" i="1"/>
  <c r="K103" i="1" s="1"/>
  <c r="K92" i="1"/>
  <c r="C92" i="1" s="1"/>
  <c r="K20" i="1"/>
  <c r="C20" i="1" s="1"/>
  <c r="B119" i="1"/>
  <c r="J5" i="11"/>
  <c r="K61" i="11" s="1"/>
  <c r="J5" i="13"/>
  <c r="K55" i="13" s="1"/>
  <c r="L55" i="13" s="1"/>
  <c r="J5" i="14"/>
  <c r="K65" i="14" s="1"/>
  <c r="B141" i="1"/>
  <c r="B165" i="1" s="1"/>
  <c r="B113" i="16" l="1"/>
  <c r="B110" i="16"/>
  <c r="J57" i="16"/>
  <c r="J12" i="1"/>
  <c r="B120" i="11"/>
  <c r="B114" i="14"/>
  <c r="K81" i="1"/>
  <c r="C82" i="1"/>
  <c r="K83" i="1" s="1"/>
  <c r="D134" i="1"/>
  <c r="B114" i="9"/>
  <c r="L108" i="1"/>
  <c r="D108" i="1" s="1"/>
  <c r="L109" i="1" s="1"/>
  <c r="K107" i="1"/>
  <c r="L112" i="1"/>
  <c r="L111" i="1" s="1"/>
  <c r="K111" i="1"/>
  <c r="E134" i="1"/>
  <c r="L94" i="1"/>
  <c r="L56" i="1"/>
  <c r="L56" i="16" s="1"/>
  <c r="K56" i="16"/>
  <c r="L64" i="1"/>
  <c r="L64" i="16" s="1"/>
  <c r="K64" i="16"/>
  <c r="L61" i="1"/>
  <c r="L61" i="16" s="1"/>
  <c r="K61" i="16"/>
  <c r="C66" i="1"/>
  <c r="K66" i="16"/>
  <c r="C60" i="1"/>
  <c r="K60" i="16"/>
  <c r="C59" i="1"/>
  <c r="K59" i="16"/>
  <c r="C55" i="1"/>
  <c r="K55" i="16"/>
  <c r="C65" i="1"/>
  <c r="K65" i="16"/>
  <c r="K20" i="9"/>
  <c r="L20" i="9" s="1"/>
  <c r="M20" i="9" s="1"/>
  <c r="K39" i="9"/>
  <c r="C39" i="9" s="1"/>
  <c r="C26" i="1"/>
  <c r="C50" i="1"/>
  <c r="C134" i="1"/>
  <c r="L24" i="1"/>
  <c r="D24" i="1" s="1"/>
  <c r="K15" i="9"/>
  <c r="C40" i="1"/>
  <c r="C41" i="1"/>
  <c r="L21" i="1"/>
  <c r="M21" i="1" s="1"/>
  <c r="E21" i="1" s="1"/>
  <c r="K64" i="10"/>
  <c r="C64" i="10" s="1"/>
  <c r="K65" i="10"/>
  <c r="L65" i="10" s="1"/>
  <c r="D65" i="10" s="1"/>
  <c r="L65" i="1"/>
  <c r="L14" i="1"/>
  <c r="K54" i="10"/>
  <c r="L54" i="10" s="1"/>
  <c r="D54" i="10" s="1"/>
  <c r="K64" i="13"/>
  <c r="C64" i="13" s="1"/>
  <c r="K38" i="9"/>
  <c r="L38" i="9" s="1"/>
  <c r="K21" i="9"/>
  <c r="C21" i="9" s="1"/>
  <c r="K69" i="9"/>
  <c r="L69" i="9" s="1"/>
  <c r="C36" i="1"/>
  <c r="C112" i="1"/>
  <c r="K113" i="1" s="1"/>
  <c r="K75" i="9"/>
  <c r="L75" i="9" s="1"/>
  <c r="M75" i="9" s="1"/>
  <c r="E75" i="9" s="1"/>
  <c r="L86" i="1"/>
  <c r="D86" i="1" s="1"/>
  <c r="K66" i="9"/>
  <c r="C66" i="9" s="1"/>
  <c r="K55" i="10"/>
  <c r="L55" i="10" s="1"/>
  <c r="D55" i="10" s="1"/>
  <c r="L82" i="1"/>
  <c r="K61" i="9"/>
  <c r="L61" i="9" s="1"/>
  <c r="D61" i="9" s="1"/>
  <c r="K65" i="9"/>
  <c r="L65" i="9" s="1"/>
  <c r="K54" i="9"/>
  <c r="C54" i="9" s="1"/>
  <c r="C64" i="1"/>
  <c r="B118" i="16"/>
  <c r="B191" i="1"/>
  <c r="K28" i="9"/>
  <c r="C28" i="9" s="1"/>
  <c r="K48" i="9"/>
  <c r="C48" i="9" s="1"/>
  <c r="K16" i="9"/>
  <c r="L16" i="9" s="1"/>
  <c r="K14" i="9"/>
  <c r="L14" i="9" s="1"/>
  <c r="D14" i="9" s="1"/>
  <c r="K9" i="9"/>
  <c r="L9" i="9" s="1"/>
  <c r="M9" i="9" s="1"/>
  <c r="E9" i="9" s="1"/>
  <c r="K40" i="9"/>
  <c r="K27" i="9"/>
  <c r="L27" i="9" s="1"/>
  <c r="D27" i="9" s="1"/>
  <c r="C51" i="9"/>
  <c r="K33" i="9"/>
  <c r="K10" i="9"/>
  <c r="C10" i="9" s="1"/>
  <c r="K60" i="9"/>
  <c r="L60" i="9" s="1"/>
  <c r="K22" i="9"/>
  <c r="C22" i="9" s="1"/>
  <c r="L51" i="9"/>
  <c r="D51" i="9" s="1"/>
  <c r="K64" i="9"/>
  <c r="L64" i="9" s="1"/>
  <c r="D64" i="9" s="1"/>
  <c r="K59" i="9"/>
  <c r="L59" i="9" s="1"/>
  <c r="M59" i="9" s="1"/>
  <c r="B83" i="13"/>
  <c r="B85" i="13" s="1"/>
  <c r="B118" i="13" s="1"/>
  <c r="B116" i="13" s="1"/>
  <c r="B83" i="14"/>
  <c r="B85" i="14" s="1"/>
  <c r="B118" i="14" s="1"/>
  <c r="B152" i="1" s="1"/>
  <c r="B83" i="10"/>
  <c r="B85" i="10" s="1"/>
  <c r="B118" i="10" s="1"/>
  <c r="Y52" i="5"/>
  <c r="F134" i="1"/>
  <c r="K60" i="10"/>
  <c r="L60" i="10" s="1"/>
  <c r="K56" i="10"/>
  <c r="C56" i="10" s="1"/>
  <c r="K28" i="10"/>
  <c r="L28" i="10" s="1"/>
  <c r="M28" i="10" s="1"/>
  <c r="N28" i="10" s="1"/>
  <c r="F28" i="10" s="1"/>
  <c r="G142" i="1"/>
  <c r="K54" i="11"/>
  <c r="L54" i="11" s="1"/>
  <c r="D54" i="11" s="1"/>
  <c r="K59" i="10"/>
  <c r="C59" i="10" s="1"/>
  <c r="K66" i="10"/>
  <c r="L66" i="10" s="1"/>
  <c r="M66" i="10" s="1"/>
  <c r="E66" i="10" s="1"/>
  <c r="K15" i="10"/>
  <c r="L15" i="10" s="1"/>
  <c r="M15" i="10" s="1"/>
  <c r="K55" i="14"/>
  <c r="L55" i="14" s="1"/>
  <c r="M55" i="14" s="1"/>
  <c r="E55" i="14" s="1"/>
  <c r="K61" i="10"/>
  <c r="L61" i="10" s="1"/>
  <c r="M61" i="10" s="1"/>
  <c r="N61" i="10" s="1"/>
  <c r="F61" i="10" s="1"/>
  <c r="K32" i="9"/>
  <c r="C32" i="9" s="1"/>
  <c r="K45" i="9"/>
  <c r="C45" i="9" s="1"/>
  <c r="K34" i="9"/>
  <c r="C34" i="9" s="1"/>
  <c r="K8" i="9"/>
  <c r="L8" i="9" s="1"/>
  <c r="M8" i="9" s="1"/>
  <c r="K26" i="9"/>
  <c r="L26" i="9" s="1"/>
  <c r="D26" i="9" s="1"/>
  <c r="K56" i="9"/>
  <c r="C56" i="9" s="1"/>
  <c r="A3" i="9"/>
  <c r="K55" i="9"/>
  <c r="L55" i="9" s="1"/>
  <c r="D55" i="9" s="1"/>
  <c r="C40" i="10"/>
  <c r="K72" i="9"/>
  <c r="L72" i="9" s="1"/>
  <c r="D72" i="9" s="1"/>
  <c r="K56" i="11"/>
  <c r="L56" i="11" s="1"/>
  <c r="D56" i="11" s="1"/>
  <c r="G133" i="1"/>
  <c r="K59" i="11"/>
  <c r="L59" i="11" s="1"/>
  <c r="M59" i="11" s="1"/>
  <c r="B83" i="11"/>
  <c r="B85" i="11" s="1"/>
  <c r="B118" i="11" s="1"/>
  <c r="B116" i="11" s="1"/>
  <c r="G132" i="1"/>
  <c r="L52" i="5"/>
  <c r="E77" i="12"/>
  <c r="B137" i="1"/>
  <c r="K55" i="11"/>
  <c r="C55" i="11" s="1"/>
  <c r="K60" i="11"/>
  <c r="K58" i="11" s="1"/>
  <c r="B114" i="1"/>
  <c r="B120" i="1"/>
  <c r="J105" i="1"/>
  <c r="E77" i="7"/>
  <c r="B83" i="9"/>
  <c r="C65" i="14"/>
  <c r="K59" i="14"/>
  <c r="C59" i="14" s="1"/>
  <c r="C39" i="1"/>
  <c r="K75" i="10"/>
  <c r="C75" i="10" s="1"/>
  <c r="K8" i="10"/>
  <c r="L8" i="10" s="1"/>
  <c r="D8" i="10" s="1"/>
  <c r="N50" i="1"/>
  <c r="F50" i="1" s="1"/>
  <c r="L92" i="1"/>
  <c r="M92" i="1" s="1"/>
  <c r="E92" i="1" s="1"/>
  <c r="K16" i="10"/>
  <c r="A3" i="10"/>
  <c r="K60" i="14"/>
  <c r="L60" i="14" s="1"/>
  <c r="M60" i="14" s="1"/>
  <c r="K61" i="14"/>
  <c r="L61" i="14" s="1"/>
  <c r="D61" i="14" s="1"/>
  <c r="L65" i="14"/>
  <c r="D65" i="14" s="1"/>
  <c r="K72" i="10"/>
  <c r="K27" i="10"/>
  <c r="K34" i="10"/>
  <c r="C34" i="10" s="1"/>
  <c r="K56" i="14"/>
  <c r="C56" i="14" s="1"/>
  <c r="L44" i="1"/>
  <c r="M44" i="1" s="1"/>
  <c r="C108" i="1"/>
  <c r="K109" i="1" s="1"/>
  <c r="K69" i="10"/>
  <c r="K22" i="10"/>
  <c r="C9" i="1"/>
  <c r="D54" i="1"/>
  <c r="D54" i="16" s="1"/>
  <c r="E54" i="1"/>
  <c r="E54" i="16" s="1"/>
  <c r="C98" i="1"/>
  <c r="L98" i="1"/>
  <c r="M98" i="1" s="1"/>
  <c r="L19" i="1"/>
  <c r="C19" i="1"/>
  <c r="K22" i="1" s="1"/>
  <c r="D41" i="1"/>
  <c r="M41" i="1"/>
  <c r="M38" i="1" s="1"/>
  <c r="C10" i="1"/>
  <c r="L10" i="1"/>
  <c r="M10" i="1" s="1"/>
  <c r="L35" i="1"/>
  <c r="L33" i="1" s="1"/>
  <c r="K33" i="1"/>
  <c r="L100" i="1"/>
  <c r="K23" i="1"/>
  <c r="C25" i="1"/>
  <c r="L25" i="1"/>
  <c r="L23" i="1" s="1"/>
  <c r="D50" i="1"/>
  <c r="L34" i="1"/>
  <c r="D34" i="1" s="1"/>
  <c r="C34" i="1"/>
  <c r="L61" i="11"/>
  <c r="D61" i="11" s="1"/>
  <c r="C61" i="11"/>
  <c r="K61" i="13"/>
  <c r="C61" i="13" s="1"/>
  <c r="C55" i="13"/>
  <c r="K56" i="13"/>
  <c r="K53" i="13" s="1"/>
  <c r="K59" i="13"/>
  <c r="L59" i="13" s="1"/>
  <c r="K54" i="13"/>
  <c r="K52" i="13" s="1"/>
  <c r="K65" i="13"/>
  <c r="C65" i="13" s="1"/>
  <c r="K60" i="13"/>
  <c r="C51" i="1"/>
  <c r="L51" i="1"/>
  <c r="L48" i="1" s="1"/>
  <c r="D36" i="1"/>
  <c r="L11" i="1"/>
  <c r="L59" i="1"/>
  <c r="C29" i="1"/>
  <c r="K10" i="10"/>
  <c r="C10" i="10" s="1"/>
  <c r="K20" i="10"/>
  <c r="K21" i="10"/>
  <c r="K48" i="10"/>
  <c r="K38" i="10"/>
  <c r="K33" i="10"/>
  <c r="K51" i="10"/>
  <c r="K14" i="10"/>
  <c r="C14" i="10" s="1"/>
  <c r="K39" i="10"/>
  <c r="K37" i="10" s="1"/>
  <c r="K45" i="10"/>
  <c r="K26" i="10"/>
  <c r="K32" i="10"/>
  <c r="C32" i="10" s="1"/>
  <c r="K9" i="10"/>
  <c r="L93" i="1"/>
  <c r="D93" i="1" s="1"/>
  <c r="K63" i="1"/>
  <c r="C61" i="1"/>
  <c r="K48" i="1"/>
  <c r="C46" i="1"/>
  <c r="E40" i="1"/>
  <c r="N40" i="1"/>
  <c r="M55" i="13"/>
  <c r="D55" i="13"/>
  <c r="K54" i="14"/>
  <c r="K64" i="14"/>
  <c r="L64" i="14" s="1"/>
  <c r="F54" i="1"/>
  <c r="F54" i="16" s="1"/>
  <c r="D29" i="1"/>
  <c r="M29" i="1"/>
  <c r="M46" i="1"/>
  <c r="D46" i="1"/>
  <c r="D40" i="1"/>
  <c r="L38" i="1"/>
  <c r="D15" i="1"/>
  <c r="M15" i="1"/>
  <c r="M26" i="1"/>
  <c r="D26" i="1"/>
  <c r="N36" i="1"/>
  <c r="K85" i="1"/>
  <c r="L88" i="1"/>
  <c r="D88" i="1" s="1"/>
  <c r="D39" i="1"/>
  <c r="M39" i="1"/>
  <c r="K43" i="1"/>
  <c r="L45" i="1"/>
  <c r="C45" i="1"/>
  <c r="K69" i="1"/>
  <c r="L70" i="1"/>
  <c r="D70" i="1" s="1"/>
  <c r="D9" i="1"/>
  <c r="C54" i="1"/>
  <c r="C54" i="16" s="1"/>
  <c r="C104" i="1"/>
  <c r="L104" i="1"/>
  <c r="L103" i="1" s="1"/>
  <c r="K73" i="1"/>
  <c r="D74" i="1"/>
  <c r="K77" i="1"/>
  <c r="K79" i="1"/>
  <c r="L78" i="1"/>
  <c r="D78" i="1" s="1"/>
  <c r="M30" i="1"/>
  <c r="D30" i="1"/>
  <c r="K58" i="1"/>
  <c r="L60" i="1"/>
  <c r="L60" i="16" s="1"/>
  <c r="L87" i="1"/>
  <c r="C87" i="1"/>
  <c r="K18" i="1"/>
  <c r="L20" i="1"/>
  <c r="C31" i="1"/>
  <c r="L31" i="1"/>
  <c r="C16" i="1"/>
  <c r="L16" i="1"/>
  <c r="L13" i="1" s="1"/>
  <c r="L49" i="1"/>
  <c r="C56" i="1"/>
  <c r="L55" i="1"/>
  <c r="K13" i="1"/>
  <c r="K8" i="1"/>
  <c r="C15" i="1"/>
  <c r="K28" i="1"/>
  <c r="K84" i="1"/>
  <c r="L66" i="1"/>
  <c r="L66" i="16" s="1"/>
  <c r="K97" i="1"/>
  <c r="C30" i="1"/>
  <c r="L99" i="1"/>
  <c r="L40" i="10"/>
  <c r="K75" i="14"/>
  <c r="C75" i="14" s="1"/>
  <c r="K66" i="14"/>
  <c r="C66" i="14" s="1"/>
  <c r="K51" i="14"/>
  <c r="C51" i="14" s="1"/>
  <c r="K69" i="14"/>
  <c r="C69" i="14" s="1"/>
  <c r="K27" i="14"/>
  <c r="L27" i="14" s="1"/>
  <c r="K22" i="14"/>
  <c r="C22" i="14" s="1"/>
  <c r="K15" i="14"/>
  <c r="C15" i="14" s="1"/>
  <c r="K72" i="14"/>
  <c r="C72" i="14" s="1"/>
  <c r="K34" i="14"/>
  <c r="C34" i="14" s="1"/>
  <c r="K10" i="14"/>
  <c r="C10" i="14" s="1"/>
  <c r="K39" i="14"/>
  <c r="L39" i="14" s="1"/>
  <c r="K26" i="14"/>
  <c r="C26" i="14" s="1"/>
  <c r="K40" i="14"/>
  <c r="C40" i="14" s="1"/>
  <c r="K32" i="14"/>
  <c r="K20" i="14"/>
  <c r="C20" i="14" s="1"/>
  <c r="K48" i="14"/>
  <c r="C48" i="14" s="1"/>
  <c r="K21" i="14"/>
  <c r="L21" i="14" s="1"/>
  <c r="K45" i="14"/>
  <c r="C45" i="14" s="1"/>
  <c r="K8" i="14"/>
  <c r="C8" i="14" s="1"/>
  <c r="K38" i="14"/>
  <c r="C38" i="14" s="1"/>
  <c r="K16" i="14"/>
  <c r="C16" i="14" s="1"/>
  <c r="K9" i="14"/>
  <c r="L9" i="14" s="1"/>
  <c r="A3" i="14"/>
  <c r="K28" i="14"/>
  <c r="K14" i="14"/>
  <c r="C14" i="14" s="1"/>
  <c r="K33" i="14"/>
  <c r="L33" i="14" s="1"/>
  <c r="K39" i="13"/>
  <c r="C39" i="13" s="1"/>
  <c r="K20" i="13"/>
  <c r="C20" i="13" s="1"/>
  <c r="K40" i="13"/>
  <c r="C40" i="13" s="1"/>
  <c r="K14" i="13"/>
  <c r="C14" i="13" s="1"/>
  <c r="K8" i="13"/>
  <c r="K72" i="13"/>
  <c r="C72" i="13" s="1"/>
  <c r="K16" i="13"/>
  <c r="K9" i="13"/>
  <c r="C9" i="13" s="1"/>
  <c r="K66" i="13"/>
  <c r="L66" i="13" s="1"/>
  <c r="D66" i="13" s="1"/>
  <c r="K34" i="13"/>
  <c r="C34" i="13" s="1"/>
  <c r="K21" i="13"/>
  <c r="C21" i="13" s="1"/>
  <c r="A3" i="13"/>
  <c r="K48" i="13"/>
  <c r="K22" i="13"/>
  <c r="K75" i="13"/>
  <c r="C75" i="13" s="1"/>
  <c r="K38" i="13"/>
  <c r="C38" i="13" s="1"/>
  <c r="K27" i="13"/>
  <c r="C27" i="13" s="1"/>
  <c r="K69" i="13"/>
  <c r="K51" i="13"/>
  <c r="C51" i="13" s="1"/>
  <c r="K28" i="13"/>
  <c r="C28" i="13" s="1"/>
  <c r="K26" i="13"/>
  <c r="C26" i="13" s="1"/>
  <c r="K15" i="13"/>
  <c r="K45" i="13"/>
  <c r="C45" i="13" s="1"/>
  <c r="K32" i="13"/>
  <c r="C32" i="13" s="1"/>
  <c r="K10" i="13"/>
  <c r="L10" i="13" s="1"/>
  <c r="K33" i="13"/>
  <c r="C33" i="13" s="1"/>
  <c r="K96" i="1"/>
  <c r="K90" i="1"/>
  <c r="K91" i="1"/>
  <c r="K38" i="1"/>
  <c r="K64" i="11"/>
  <c r="K65" i="11"/>
  <c r="K75" i="11"/>
  <c r="C75" i="11" s="1"/>
  <c r="K69" i="11"/>
  <c r="C69" i="11" s="1"/>
  <c r="K8" i="11"/>
  <c r="C8" i="11" s="1"/>
  <c r="K20" i="11"/>
  <c r="C20" i="11" s="1"/>
  <c r="K32" i="11"/>
  <c r="C32" i="11" s="1"/>
  <c r="K10" i="11"/>
  <c r="C10" i="11" s="1"/>
  <c r="K48" i="11"/>
  <c r="C48" i="11" s="1"/>
  <c r="K40" i="11"/>
  <c r="C40" i="11" s="1"/>
  <c r="K14" i="11"/>
  <c r="K26" i="11"/>
  <c r="C26" i="11" s="1"/>
  <c r="K15" i="11"/>
  <c r="K34" i="11"/>
  <c r="C34" i="11" s="1"/>
  <c r="K51" i="11"/>
  <c r="C51" i="11" s="1"/>
  <c r="K66" i="11"/>
  <c r="C66" i="11" s="1"/>
  <c r="A3" i="11"/>
  <c r="K21" i="11"/>
  <c r="C21" i="11" s="1"/>
  <c r="K28" i="11"/>
  <c r="C28" i="11" s="1"/>
  <c r="K72" i="11"/>
  <c r="C72" i="11" s="1"/>
  <c r="K39" i="11"/>
  <c r="C39" i="11" s="1"/>
  <c r="K16" i="11"/>
  <c r="K33" i="11"/>
  <c r="K27" i="11"/>
  <c r="K45" i="11"/>
  <c r="C45" i="11" s="1"/>
  <c r="K38" i="11"/>
  <c r="L38" i="11" s="1"/>
  <c r="D38" i="11" s="1"/>
  <c r="K22" i="11"/>
  <c r="C22" i="11" s="1"/>
  <c r="K9" i="11"/>
  <c r="C9" i="11" s="1"/>
  <c r="K95" i="1"/>
  <c r="K53" i="1"/>
  <c r="K71" i="1"/>
  <c r="K75" i="1"/>
  <c r="M100" i="1" l="1"/>
  <c r="E100" i="1" s="1"/>
  <c r="D100" i="1"/>
  <c r="M94" i="1"/>
  <c r="D94" i="1"/>
  <c r="M86" i="1"/>
  <c r="C26" i="9"/>
  <c r="L32" i="9"/>
  <c r="M32" i="9" s="1"/>
  <c r="D20" i="9"/>
  <c r="D59" i="9"/>
  <c r="C55" i="10"/>
  <c r="M112" i="1"/>
  <c r="M111" i="1" s="1"/>
  <c r="D112" i="1"/>
  <c r="L113" i="1" s="1"/>
  <c r="C54" i="10"/>
  <c r="C56" i="11"/>
  <c r="M54" i="10"/>
  <c r="E54" i="10" s="1"/>
  <c r="C117" i="1"/>
  <c r="C118" i="1"/>
  <c r="B85" i="9"/>
  <c r="B118" i="9" s="1"/>
  <c r="C16" i="9"/>
  <c r="C60" i="9"/>
  <c r="C59" i="11"/>
  <c r="K53" i="16"/>
  <c r="C56" i="16"/>
  <c r="L81" i="1"/>
  <c r="D82" i="1"/>
  <c r="L83" i="1" s="1"/>
  <c r="K27" i="1"/>
  <c r="M64" i="9"/>
  <c r="E64" i="9" s="1"/>
  <c r="M64" i="1"/>
  <c r="M64" i="16" s="1"/>
  <c r="D21" i="1"/>
  <c r="M108" i="1"/>
  <c r="N108" i="1" s="1"/>
  <c r="F108" i="1" s="1"/>
  <c r="N109" i="1" s="1"/>
  <c r="L107" i="1"/>
  <c r="L52" i="10"/>
  <c r="K37" i="9"/>
  <c r="C61" i="10"/>
  <c r="M65" i="14"/>
  <c r="N65" i="14" s="1"/>
  <c r="L64" i="13"/>
  <c r="D64" i="13" s="1"/>
  <c r="L75" i="10"/>
  <c r="M75" i="10" s="1"/>
  <c r="E75" i="10" s="1"/>
  <c r="D92" i="1"/>
  <c r="K52" i="1"/>
  <c r="L58" i="9"/>
  <c r="L21" i="9"/>
  <c r="D21" i="9" s="1"/>
  <c r="M61" i="1"/>
  <c r="M61" i="16" s="1"/>
  <c r="N21" i="1"/>
  <c r="F21" i="1" s="1"/>
  <c r="M54" i="11"/>
  <c r="N54" i="11" s="1"/>
  <c r="F54" i="11" s="1"/>
  <c r="D61" i="1"/>
  <c r="D61" i="16" s="1"/>
  <c r="L28" i="9"/>
  <c r="L25" i="9" s="1"/>
  <c r="M82" i="1"/>
  <c r="C64" i="16"/>
  <c r="L59" i="10"/>
  <c r="L57" i="10" s="1"/>
  <c r="D64" i="1"/>
  <c r="D64" i="16" s="1"/>
  <c r="K63" i="16"/>
  <c r="C60" i="16"/>
  <c r="C59" i="16"/>
  <c r="D56" i="1"/>
  <c r="D56" i="16" s="1"/>
  <c r="M56" i="1"/>
  <c r="M56" i="16" s="1"/>
  <c r="C65" i="10"/>
  <c r="K58" i="9"/>
  <c r="K13" i="9"/>
  <c r="M65" i="1"/>
  <c r="E65" i="1" s="1"/>
  <c r="L65" i="16"/>
  <c r="L63" i="16" s="1"/>
  <c r="M59" i="1"/>
  <c r="E59" i="1" s="1"/>
  <c r="L59" i="16"/>
  <c r="L58" i="16" s="1"/>
  <c r="C55" i="16"/>
  <c r="C66" i="16"/>
  <c r="M24" i="1"/>
  <c r="E24" i="1" s="1"/>
  <c r="L53" i="1"/>
  <c r="L55" i="16"/>
  <c r="L53" i="16" s="1"/>
  <c r="C65" i="16"/>
  <c r="D59" i="11"/>
  <c r="K58" i="16"/>
  <c r="L22" i="9"/>
  <c r="D22" i="9" s="1"/>
  <c r="N9" i="9"/>
  <c r="F9" i="9" s="1"/>
  <c r="C60" i="14"/>
  <c r="K63" i="14"/>
  <c r="D44" i="1"/>
  <c r="K13" i="10"/>
  <c r="M55" i="9"/>
  <c r="N55" i="9" s="1"/>
  <c r="F55" i="9" s="1"/>
  <c r="G50" i="1"/>
  <c r="L59" i="14"/>
  <c r="M59" i="14" s="1"/>
  <c r="E59" i="14" s="1"/>
  <c r="K37" i="1"/>
  <c r="K67" i="1"/>
  <c r="C20" i="9"/>
  <c r="K23" i="9" s="1"/>
  <c r="L60" i="11"/>
  <c r="L58" i="11" s="1"/>
  <c r="D61" i="10"/>
  <c r="C9" i="9"/>
  <c r="L39" i="9"/>
  <c r="D9" i="9"/>
  <c r="E61" i="10"/>
  <c r="M51" i="9"/>
  <c r="L66" i="14"/>
  <c r="L63" i="14" s="1"/>
  <c r="N75" i="9"/>
  <c r="F75" i="9" s="1"/>
  <c r="L56" i="13"/>
  <c r="L53" i="13" s="1"/>
  <c r="C15" i="9"/>
  <c r="L40" i="11"/>
  <c r="D40" i="11" s="1"/>
  <c r="L56" i="14"/>
  <c r="M56" i="14" s="1"/>
  <c r="D75" i="9"/>
  <c r="L15" i="9"/>
  <c r="L13" i="9" s="1"/>
  <c r="C75" i="9"/>
  <c r="C60" i="11"/>
  <c r="D8" i="9"/>
  <c r="B121" i="1"/>
  <c r="B123" i="1" s="1"/>
  <c r="L62" i="14"/>
  <c r="L51" i="14"/>
  <c r="D51" i="14" s="1"/>
  <c r="N41" i="1"/>
  <c r="F41" i="1" s="1"/>
  <c r="C54" i="13"/>
  <c r="L55" i="11"/>
  <c r="L52" i="11" s="1"/>
  <c r="M72" i="9"/>
  <c r="L34" i="9"/>
  <c r="D34" i="9" s="1"/>
  <c r="K42" i="1"/>
  <c r="C54" i="11"/>
  <c r="L20" i="11"/>
  <c r="M20" i="11" s="1"/>
  <c r="D60" i="14"/>
  <c r="E41" i="1"/>
  <c r="C60" i="10"/>
  <c r="L48" i="9"/>
  <c r="D48" i="9" s="1"/>
  <c r="C27" i="9"/>
  <c r="K19" i="9"/>
  <c r="L21" i="11"/>
  <c r="M21" i="11" s="1"/>
  <c r="N21" i="11" s="1"/>
  <c r="F21" i="11" s="1"/>
  <c r="C56" i="13"/>
  <c r="L75" i="11"/>
  <c r="D75" i="11" s="1"/>
  <c r="C28" i="10"/>
  <c r="D59" i="1"/>
  <c r="K25" i="9"/>
  <c r="L40" i="13"/>
  <c r="D40" i="13" s="1"/>
  <c r="C8" i="10"/>
  <c r="L56" i="9"/>
  <c r="M56" i="9" s="1"/>
  <c r="C61" i="9"/>
  <c r="C55" i="14"/>
  <c r="C61" i="14"/>
  <c r="M61" i="11"/>
  <c r="N61" i="11" s="1"/>
  <c r="F61" i="11" s="1"/>
  <c r="C80" i="9"/>
  <c r="C72" i="9"/>
  <c r="K62" i="10"/>
  <c r="D65" i="1"/>
  <c r="C8" i="9"/>
  <c r="C69" i="9"/>
  <c r="L64" i="10"/>
  <c r="L62" i="10" s="1"/>
  <c r="L62" i="9"/>
  <c r="L20" i="13"/>
  <c r="D20" i="13" s="1"/>
  <c r="L63" i="1"/>
  <c r="L40" i="9"/>
  <c r="D40" i="9" s="1"/>
  <c r="C59" i="13"/>
  <c r="C15" i="10"/>
  <c r="M61" i="9"/>
  <c r="N61" i="9" s="1"/>
  <c r="C40" i="9"/>
  <c r="C64" i="9"/>
  <c r="M61" i="14"/>
  <c r="M58" i="14" s="1"/>
  <c r="M56" i="11"/>
  <c r="K31" i="9"/>
  <c r="D14" i="1"/>
  <c r="M14" i="1"/>
  <c r="M60" i="10"/>
  <c r="D60" i="10"/>
  <c r="D69" i="9"/>
  <c r="M69" i="9"/>
  <c r="D66" i="10"/>
  <c r="L40" i="14"/>
  <c r="D40" i="14" s="1"/>
  <c r="M65" i="9"/>
  <c r="N92" i="1"/>
  <c r="F92" i="1" s="1"/>
  <c r="D10" i="1"/>
  <c r="N66" i="10"/>
  <c r="F66" i="10" s="1"/>
  <c r="M65" i="10"/>
  <c r="L56" i="10"/>
  <c r="L53" i="10" s="1"/>
  <c r="L61" i="13"/>
  <c r="D61" i="13" s="1"/>
  <c r="L57" i="9"/>
  <c r="D65" i="9"/>
  <c r="K63" i="10"/>
  <c r="L10" i="9"/>
  <c r="L51" i="11"/>
  <c r="D51" i="11" s="1"/>
  <c r="L21" i="13"/>
  <c r="D21" i="13" s="1"/>
  <c r="L15" i="14"/>
  <c r="D15" i="14" s="1"/>
  <c r="C65" i="9"/>
  <c r="C14" i="9"/>
  <c r="L54" i="9"/>
  <c r="L52" i="9" s="1"/>
  <c r="D98" i="1"/>
  <c r="C33" i="9"/>
  <c r="K35" i="9" s="1"/>
  <c r="N55" i="14"/>
  <c r="F55" i="14" s="1"/>
  <c r="M8" i="10"/>
  <c r="N8" i="10" s="1"/>
  <c r="F8" i="10" s="1"/>
  <c r="D28" i="10"/>
  <c r="L72" i="11"/>
  <c r="M72" i="11" s="1"/>
  <c r="M34" i="1"/>
  <c r="N34" i="1" s="1"/>
  <c r="F34" i="1" s="1"/>
  <c r="C59" i="9"/>
  <c r="L33" i="9"/>
  <c r="M33" i="9" s="1"/>
  <c r="L8" i="1"/>
  <c r="C38" i="9"/>
  <c r="E28" i="10"/>
  <c r="C66" i="10"/>
  <c r="L10" i="10"/>
  <c r="M10" i="10" s="1"/>
  <c r="L45" i="11"/>
  <c r="D45" i="11" s="1"/>
  <c r="K57" i="9"/>
  <c r="K7" i="9"/>
  <c r="L75" i="13"/>
  <c r="D75" i="13" s="1"/>
  <c r="L22" i="14"/>
  <c r="D22" i="14" s="1"/>
  <c r="K62" i="9"/>
  <c r="K52" i="10"/>
  <c r="L8" i="11"/>
  <c r="M8" i="11" s="1"/>
  <c r="M14" i="9"/>
  <c r="N14" i="9" s="1"/>
  <c r="F14" i="9" s="1"/>
  <c r="M26" i="9"/>
  <c r="N26" i="9" s="1"/>
  <c r="F26" i="9" s="1"/>
  <c r="M27" i="9"/>
  <c r="L32" i="10"/>
  <c r="D32" i="10" s="1"/>
  <c r="L54" i="13"/>
  <c r="C55" i="9"/>
  <c r="K53" i="10"/>
  <c r="C64" i="14"/>
  <c r="M55" i="10"/>
  <c r="E55" i="10" s="1"/>
  <c r="K62" i="1"/>
  <c r="C61" i="16"/>
  <c r="L45" i="9"/>
  <c r="M45" i="9" s="1"/>
  <c r="K63" i="9"/>
  <c r="L66" i="9"/>
  <c r="B192" i="1"/>
  <c r="B194" i="1" s="1"/>
  <c r="G54" i="16"/>
  <c r="B120" i="16"/>
  <c r="K52" i="14"/>
  <c r="K25" i="10"/>
  <c r="C80" i="11"/>
  <c r="K57" i="10"/>
  <c r="B116" i="14"/>
  <c r="B123" i="14"/>
  <c r="B126" i="14" s="1"/>
  <c r="B127" i="14" s="1"/>
  <c r="B153" i="1" s="1"/>
  <c r="J153" i="1" s="1"/>
  <c r="B171" i="1" s="1"/>
  <c r="L42" i="1"/>
  <c r="C120" i="1"/>
  <c r="B150" i="1"/>
  <c r="B123" i="13"/>
  <c r="B126" i="13" s="1"/>
  <c r="B127" i="13" s="1"/>
  <c r="B151" i="1" s="1"/>
  <c r="B123" i="11"/>
  <c r="B126" i="11" s="1"/>
  <c r="B127" i="11" s="1"/>
  <c r="B149" i="1" s="1"/>
  <c r="K12" i="1"/>
  <c r="K58" i="10"/>
  <c r="K57" i="14"/>
  <c r="K53" i="14"/>
  <c r="K17" i="1"/>
  <c r="K52" i="11"/>
  <c r="K23" i="11"/>
  <c r="L97" i="1"/>
  <c r="K52" i="9"/>
  <c r="K53" i="9"/>
  <c r="K53" i="11"/>
  <c r="L58" i="10"/>
  <c r="K19" i="10"/>
  <c r="K57" i="11"/>
  <c r="K105" i="1"/>
  <c r="K58" i="14"/>
  <c r="B148" i="1"/>
  <c r="B138" i="1"/>
  <c r="G137" i="1"/>
  <c r="B134" i="1"/>
  <c r="G134" i="1" s="1"/>
  <c r="L58" i="14"/>
  <c r="K62" i="14"/>
  <c r="K35" i="13"/>
  <c r="C82" i="11"/>
  <c r="B116" i="10"/>
  <c r="B146" i="1"/>
  <c r="B123" i="10"/>
  <c r="B126" i="10" s="1"/>
  <c r="B127" i="10" s="1"/>
  <c r="B147" i="1" s="1"/>
  <c r="C119" i="1"/>
  <c r="K57" i="1"/>
  <c r="K58" i="13"/>
  <c r="D21" i="14"/>
  <c r="M21" i="14"/>
  <c r="N21" i="14" s="1"/>
  <c r="F21" i="14" s="1"/>
  <c r="K11" i="11"/>
  <c r="L26" i="13"/>
  <c r="D26" i="13" s="1"/>
  <c r="L45" i="14"/>
  <c r="D45" i="14" s="1"/>
  <c r="C82" i="14"/>
  <c r="L34" i="10"/>
  <c r="M34" i="10" s="1"/>
  <c r="L69" i="10"/>
  <c r="C69" i="10"/>
  <c r="D15" i="10"/>
  <c r="L16" i="10"/>
  <c r="L13" i="10" s="1"/>
  <c r="C16" i="10"/>
  <c r="K29" i="13"/>
  <c r="M66" i="13"/>
  <c r="L72" i="10"/>
  <c r="C72" i="10"/>
  <c r="C80" i="14"/>
  <c r="L9" i="11"/>
  <c r="D9" i="11" s="1"/>
  <c r="K41" i="13"/>
  <c r="K17" i="14"/>
  <c r="L72" i="14"/>
  <c r="D72" i="14" s="1"/>
  <c r="L69" i="14"/>
  <c r="E60" i="14"/>
  <c r="N60" i="14"/>
  <c r="L22" i="10"/>
  <c r="C22" i="10"/>
  <c r="D55" i="14"/>
  <c r="L27" i="10"/>
  <c r="C27" i="10"/>
  <c r="L66" i="11"/>
  <c r="M66" i="11" s="1"/>
  <c r="C141" i="1"/>
  <c r="C165" i="1" s="1"/>
  <c r="L63" i="10"/>
  <c r="K7" i="10"/>
  <c r="L9" i="10"/>
  <c r="C9" i="10"/>
  <c r="L39" i="10"/>
  <c r="C39" i="10"/>
  <c r="C51" i="10"/>
  <c r="L51" i="10"/>
  <c r="L48" i="10"/>
  <c r="C48" i="10"/>
  <c r="M19" i="1"/>
  <c r="D19" i="1"/>
  <c r="K57" i="13"/>
  <c r="K89" i="1"/>
  <c r="K62" i="13"/>
  <c r="L26" i="11"/>
  <c r="M26" i="11" s="1"/>
  <c r="L22" i="11"/>
  <c r="L10" i="11"/>
  <c r="D10" i="11" s="1"/>
  <c r="L34" i="11"/>
  <c r="M34" i="11" s="1"/>
  <c r="L9" i="13"/>
  <c r="M9" i="13" s="1"/>
  <c r="L90" i="1"/>
  <c r="L26" i="14"/>
  <c r="D26" i="14" s="1"/>
  <c r="C27" i="14"/>
  <c r="M93" i="1"/>
  <c r="M90" i="1" s="1"/>
  <c r="G54" i="1"/>
  <c r="C33" i="10"/>
  <c r="K35" i="10" s="1"/>
  <c r="L33" i="10"/>
  <c r="L21" i="10"/>
  <c r="C21" i="10"/>
  <c r="L65" i="13"/>
  <c r="L60" i="13"/>
  <c r="L57" i="13" s="1"/>
  <c r="K31" i="10"/>
  <c r="M35" i="1"/>
  <c r="N35" i="1" s="1"/>
  <c r="F35" i="1" s="1"/>
  <c r="D35" i="1"/>
  <c r="L37" i="1" s="1"/>
  <c r="C45" i="10"/>
  <c r="L45" i="10"/>
  <c r="L39" i="13"/>
  <c r="C60" i="13"/>
  <c r="L69" i="11"/>
  <c r="L39" i="11"/>
  <c r="D39" i="11" s="1"/>
  <c r="L72" i="13"/>
  <c r="D72" i="13" s="1"/>
  <c r="L32" i="13"/>
  <c r="M32" i="13" s="1"/>
  <c r="L48" i="14"/>
  <c r="D48" i="14" s="1"/>
  <c r="L8" i="14"/>
  <c r="D8" i="14" s="1"/>
  <c r="L14" i="14"/>
  <c r="D14" i="14" s="1"/>
  <c r="L38" i="14"/>
  <c r="D38" i="14" s="1"/>
  <c r="L20" i="14"/>
  <c r="M20" i="14" s="1"/>
  <c r="L91" i="1"/>
  <c r="L26" i="10"/>
  <c r="C26" i="10"/>
  <c r="L14" i="10"/>
  <c r="L38" i="10"/>
  <c r="C38" i="10"/>
  <c r="L20" i="10"/>
  <c r="C20" i="10"/>
  <c r="D11" i="1"/>
  <c r="M11" i="1"/>
  <c r="N11" i="1" s="1"/>
  <c r="F11" i="1" s="1"/>
  <c r="M51" i="1"/>
  <c r="N51" i="1" s="1"/>
  <c r="D51" i="1"/>
  <c r="D25" i="1"/>
  <c r="M25" i="1"/>
  <c r="N10" i="1"/>
  <c r="E10" i="1"/>
  <c r="M60" i="9"/>
  <c r="N60" i="9" s="1"/>
  <c r="F60" i="9" s="1"/>
  <c r="D60" i="9"/>
  <c r="K101" i="1"/>
  <c r="M38" i="9"/>
  <c r="D38" i="9"/>
  <c r="C14" i="11"/>
  <c r="L14" i="11"/>
  <c r="C69" i="13"/>
  <c r="L69" i="13"/>
  <c r="M20" i="1"/>
  <c r="D20" i="1"/>
  <c r="L18" i="1"/>
  <c r="M87" i="1"/>
  <c r="D87" i="1"/>
  <c r="L84" i="1"/>
  <c r="E9" i="1"/>
  <c r="L48" i="11"/>
  <c r="M38" i="11"/>
  <c r="L28" i="11"/>
  <c r="D10" i="13"/>
  <c r="M10" i="13"/>
  <c r="D27" i="14"/>
  <c r="M27" i="14"/>
  <c r="D49" i="1"/>
  <c r="M49" i="1"/>
  <c r="D104" i="1"/>
  <c r="M104" i="1"/>
  <c r="M103" i="1" s="1"/>
  <c r="D59" i="13"/>
  <c r="M59" i="13"/>
  <c r="C33" i="11"/>
  <c r="L33" i="11"/>
  <c r="C15" i="11"/>
  <c r="L15" i="11"/>
  <c r="L65" i="11"/>
  <c r="C65" i="11"/>
  <c r="K13" i="13"/>
  <c r="C15" i="13"/>
  <c r="L15" i="13"/>
  <c r="C22" i="13"/>
  <c r="L22" i="13"/>
  <c r="C16" i="13"/>
  <c r="L16" i="13"/>
  <c r="D39" i="14"/>
  <c r="M39" i="14"/>
  <c r="C32" i="14"/>
  <c r="L32" i="14"/>
  <c r="D33" i="14"/>
  <c r="M33" i="14"/>
  <c r="M40" i="10"/>
  <c r="D40" i="10"/>
  <c r="K32" i="1"/>
  <c r="C114" i="1"/>
  <c r="E98" i="1"/>
  <c r="N98" i="1"/>
  <c r="C16" i="11"/>
  <c r="L16" i="11"/>
  <c r="C48" i="13"/>
  <c r="L48" i="13"/>
  <c r="C8" i="13"/>
  <c r="L8" i="13"/>
  <c r="K31" i="14"/>
  <c r="C33" i="14"/>
  <c r="C28" i="14"/>
  <c r="L28" i="14"/>
  <c r="L25" i="14" s="1"/>
  <c r="D9" i="14"/>
  <c r="M9" i="14"/>
  <c r="L85" i="1"/>
  <c r="M88" i="1"/>
  <c r="E88" i="1" s="1"/>
  <c r="F36" i="1"/>
  <c r="G36" i="1" s="1"/>
  <c r="C54" i="14"/>
  <c r="L54" i="14"/>
  <c r="C38" i="11"/>
  <c r="L28" i="13"/>
  <c r="K7" i="13"/>
  <c r="C10" i="13"/>
  <c r="L34" i="13"/>
  <c r="L14" i="13"/>
  <c r="L34" i="14"/>
  <c r="L75" i="14"/>
  <c r="L77" i="1"/>
  <c r="M78" i="1"/>
  <c r="E78" i="1" s="1"/>
  <c r="K47" i="1"/>
  <c r="E8" i="9"/>
  <c r="N8" i="9"/>
  <c r="F8" i="9" s="1"/>
  <c r="N86" i="1"/>
  <c r="F86" i="1" s="1"/>
  <c r="E86" i="1"/>
  <c r="E29" i="1"/>
  <c r="N29" i="1"/>
  <c r="F29" i="1" s="1"/>
  <c r="D16" i="9"/>
  <c r="M16" i="9"/>
  <c r="K25" i="11"/>
  <c r="C27" i="11"/>
  <c r="L32" i="11"/>
  <c r="L27" i="11"/>
  <c r="L64" i="11"/>
  <c r="C64" i="11"/>
  <c r="L33" i="13"/>
  <c r="L38" i="13"/>
  <c r="K7" i="14"/>
  <c r="C9" i="14"/>
  <c r="K37" i="14"/>
  <c r="C39" i="14"/>
  <c r="D66" i="1"/>
  <c r="M66" i="1"/>
  <c r="M66" i="16" s="1"/>
  <c r="N15" i="10"/>
  <c r="E15" i="10"/>
  <c r="M55" i="1"/>
  <c r="M55" i="16" s="1"/>
  <c r="D55" i="1"/>
  <c r="M16" i="1"/>
  <c r="D16" i="1"/>
  <c r="L28" i="1"/>
  <c r="D31" i="1"/>
  <c r="M31" i="1"/>
  <c r="M28" i="1" s="1"/>
  <c r="L73" i="1"/>
  <c r="E74" i="1"/>
  <c r="L69" i="1"/>
  <c r="M70" i="1"/>
  <c r="E70" i="1" s="1"/>
  <c r="L43" i="1"/>
  <c r="M45" i="1"/>
  <c r="D45" i="1"/>
  <c r="N39" i="1"/>
  <c r="F39" i="1" s="1"/>
  <c r="E39" i="1"/>
  <c r="N26" i="1"/>
  <c r="E26" i="1"/>
  <c r="N46" i="1"/>
  <c r="E46" i="1"/>
  <c r="N44" i="1"/>
  <c r="F44" i="1" s="1"/>
  <c r="E44" i="1"/>
  <c r="D64" i="14"/>
  <c r="M64" i="14"/>
  <c r="E59" i="9"/>
  <c r="N59" i="9"/>
  <c r="E55" i="13"/>
  <c r="N55" i="13"/>
  <c r="E59" i="11"/>
  <c r="N59" i="11"/>
  <c r="K63" i="13"/>
  <c r="C66" i="13"/>
  <c r="L27" i="13"/>
  <c r="L51" i="13"/>
  <c r="L45" i="13"/>
  <c r="K19" i="14"/>
  <c r="C21" i="14"/>
  <c r="L10" i="14"/>
  <c r="L7" i="14" s="1"/>
  <c r="L16" i="14"/>
  <c r="D99" i="1"/>
  <c r="M99" i="1"/>
  <c r="L96" i="1"/>
  <c r="L58" i="1"/>
  <c r="D60" i="1"/>
  <c r="D60" i="16" s="1"/>
  <c r="M60" i="1"/>
  <c r="M60" i="16" s="1"/>
  <c r="N30" i="1"/>
  <c r="E30" i="1"/>
  <c r="E15" i="1"/>
  <c r="N15" i="1"/>
  <c r="N20" i="9"/>
  <c r="F20" i="9" s="1"/>
  <c r="E20" i="9"/>
  <c r="F40" i="1"/>
  <c r="K7" i="11"/>
  <c r="K31" i="11"/>
  <c r="K31" i="13"/>
  <c r="K13" i="14"/>
  <c r="K37" i="11"/>
  <c r="K13" i="11"/>
  <c r="K63" i="11"/>
  <c r="K62" i="11"/>
  <c r="K25" i="13"/>
  <c r="K25" i="14"/>
  <c r="K19" i="11"/>
  <c r="K19" i="13"/>
  <c r="K37" i="13"/>
  <c r="K11" i="9" l="1"/>
  <c r="N100" i="1"/>
  <c r="F100" i="1" s="1"/>
  <c r="G100" i="1" s="1"/>
  <c r="N94" i="1"/>
  <c r="F94" i="1" s="1"/>
  <c r="E94" i="1"/>
  <c r="E112" i="1"/>
  <c r="M113" i="1" s="1"/>
  <c r="N112" i="1"/>
  <c r="N111" i="1" s="1"/>
  <c r="K29" i="9"/>
  <c r="E61" i="1"/>
  <c r="E61" i="16" s="1"/>
  <c r="D32" i="9"/>
  <c r="N54" i="10"/>
  <c r="F54" i="10" s="1"/>
  <c r="G54" i="10" s="1"/>
  <c r="D55" i="16"/>
  <c r="L57" i="16" s="1"/>
  <c r="D117" i="1"/>
  <c r="D118" i="1"/>
  <c r="N75" i="10"/>
  <c r="F75" i="10" s="1"/>
  <c r="D75" i="10"/>
  <c r="M56" i="13"/>
  <c r="E56" i="13" s="1"/>
  <c r="D56" i="13"/>
  <c r="D65" i="16"/>
  <c r="B116" i="9"/>
  <c r="B144" i="1"/>
  <c r="B123" i="9"/>
  <c r="B126" i="9" s="1"/>
  <c r="B127" i="9" s="1"/>
  <c r="B145" i="1" s="1"/>
  <c r="D20" i="11"/>
  <c r="K57" i="16"/>
  <c r="N56" i="1"/>
  <c r="N56" i="16" s="1"/>
  <c r="N82" i="1"/>
  <c r="F82" i="1" s="1"/>
  <c r="N83" i="1" s="1"/>
  <c r="E82" i="1"/>
  <c r="M83" i="1" s="1"/>
  <c r="E56" i="1"/>
  <c r="E56" i="16" s="1"/>
  <c r="M40" i="14"/>
  <c r="M37" i="14" s="1"/>
  <c r="M38" i="14"/>
  <c r="E38" i="14" s="1"/>
  <c r="D59" i="10"/>
  <c r="N38" i="1"/>
  <c r="P39" i="1" s="1"/>
  <c r="E65" i="14"/>
  <c r="N64" i="9"/>
  <c r="F64" i="9" s="1"/>
  <c r="G64" i="9" s="1"/>
  <c r="N61" i="1"/>
  <c r="F61" i="1" s="1"/>
  <c r="M59" i="10"/>
  <c r="N59" i="10" s="1"/>
  <c r="E61" i="9"/>
  <c r="M62" i="9"/>
  <c r="D28" i="9"/>
  <c r="L29" i="9" s="1"/>
  <c r="M28" i="9"/>
  <c r="E54" i="11"/>
  <c r="G54" i="11" s="1"/>
  <c r="E64" i="1"/>
  <c r="E64" i="16" s="1"/>
  <c r="M45" i="14"/>
  <c r="N45" i="14" s="1"/>
  <c r="F45" i="14" s="1"/>
  <c r="N64" i="1"/>
  <c r="N64" i="16" s="1"/>
  <c r="L95" i="1"/>
  <c r="G21" i="1"/>
  <c r="M64" i="13"/>
  <c r="N64" i="13" s="1"/>
  <c r="M22" i="9"/>
  <c r="E22" i="9" s="1"/>
  <c r="N107" i="1"/>
  <c r="E108" i="1"/>
  <c r="M107" i="1"/>
  <c r="L47" i="1"/>
  <c r="L37" i="14"/>
  <c r="M53" i="16"/>
  <c r="G61" i="10"/>
  <c r="D45" i="9"/>
  <c r="D80" i="9" s="1"/>
  <c r="M61" i="13"/>
  <c r="E61" i="13" s="1"/>
  <c r="M21" i="9"/>
  <c r="E21" i="9" s="1"/>
  <c r="L23" i="9"/>
  <c r="L13" i="14"/>
  <c r="D82" i="9"/>
  <c r="M40" i="9"/>
  <c r="N40" i="9" s="1"/>
  <c r="F40" i="9" s="1"/>
  <c r="M15" i="14"/>
  <c r="N15" i="14" s="1"/>
  <c r="M32" i="10"/>
  <c r="N32" i="10" s="1"/>
  <c r="F32" i="10" s="1"/>
  <c r="E8" i="10"/>
  <c r="G8" i="10" s="1"/>
  <c r="M22" i="14"/>
  <c r="M19" i="14" s="1"/>
  <c r="M48" i="9"/>
  <c r="N48" i="9" s="1"/>
  <c r="F48" i="9" s="1"/>
  <c r="K17" i="9"/>
  <c r="M53" i="9"/>
  <c r="D66" i="11"/>
  <c r="M34" i="9"/>
  <c r="E34" i="9" s="1"/>
  <c r="M81" i="1"/>
  <c r="E55" i="9"/>
  <c r="G55" i="9" s="1"/>
  <c r="L37" i="9"/>
  <c r="K67" i="16"/>
  <c r="M58" i="16"/>
  <c r="D39" i="9"/>
  <c r="L41" i="9" s="1"/>
  <c r="M40" i="11"/>
  <c r="E40" i="11" s="1"/>
  <c r="M39" i="9"/>
  <c r="L19" i="9"/>
  <c r="K11" i="10"/>
  <c r="E34" i="1"/>
  <c r="G34" i="1" s="1"/>
  <c r="L12" i="1"/>
  <c r="G41" i="1"/>
  <c r="L37" i="11"/>
  <c r="M39" i="11"/>
  <c r="M55" i="11"/>
  <c r="M53" i="11" s="1"/>
  <c r="K41" i="9"/>
  <c r="N59" i="1"/>
  <c r="M59" i="16"/>
  <c r="E59" i="16" s="1"/>
  <c r="C110" i="16"/>
  <c r="C191" i="1" s="1"/>
  <c r="D59" i="16"/>
  <c r="N24" i="1"/>
  <c r="F24" i="1" s="1"/>
  <c r="G24" i="1" s="1"/>
  <c r="N65" i="1"/>
  <c r="M65" i="16"/>
  <c r="M63" i="16" s="1"/>
  <c r="N93" i="1"/>
  <c r="F93" i="1" s="1"/>
  <c r="L53" i="14"/>
  <c r="M57" i="14"/>
  <c r="L57" i="14"/>
  <c r="D9" i="13"/>
  <c r="E61" i="11"/>
  <c r="G61" i="11" s="1"/>
  <c r="N59" i="14"/>
  <c r="N57" i="14" s="1"/>
  <c r="D59" i="14"/>
  <c r="D103" i="9"/>
  <c r="D120" i="9" s="1"/>
  <c r="E26" i="9"/>
  <c r="G26" i="9" s="1"/>
  <c r="M75" i="11"/>
  <c r="E75" i="11" s="1"/>
  <c r="E14" i="9"/>
  <c r="G14" i="9" s="1"/>
  <c r="M60" i="11"/>
  <c r="M57" i="11" s="1"/>
  <c r="D60" i="11"/>
  <c r="M42" i="1"/>
  <c r="D26" i="11"/>
  <c r="L57" i="11"/>
  <c r="M66" i="14"/>
  <c r="M63" i="14" s="1"/>
  <c r="D103" i="10"/>
  <c r="D114" i="10" s="1"/>
  <c r="D66" i="14"/>
  <c r="D20" i="14"/>
  <c r="L23" i="14" s="1"/>
  <c r="L53" i="11"/>
  <c r="D55" i="11"/>
  <c r="D32" i="13"/>
  <c r="E93" i="1"/>
  <c r="M95" i="1" s="1"/>
  <c r="E51" i="9"/>
  <c r="N51" i="9"/>
  <c r="F51" i="9" s="1"/>
  <c r="G9" i="9"/>
  <c r="M40" i="13"/>
  <c r="E40" i="13" s="1"/>
  <c r="D56" i="14"/>
  <c r="E21" i="11"/>
  <c r="D72" i="11"/>
  <c r="M26" i="13"/>
  <c r="N26" i="13" s="1"/>
  <c r="F26" i="13" s="1"/>
  <c r="M51" i="14"/>
  <c r="E51" i="14" s="1"/>
  <c r="D8" i="11"/>
  <c r="L11" i="11" s="1"/>
  <c r="D10" i="10"/>
  <c r="L37" i="13"/>
  <c r="C82" i="9"/>
  <c r="G75" i="9"/>
  <c r="M45" i="11"/>
  <c r="E45" i="11" s="1"/>
  <c r="M15" i="9"/>
  <c r="E15" i="9" s="1"/>
  <c r="L19" i="11"/>
  <c r="G66" i="10"/>
  <c r="M51" i="11"/>
  <c r="E51" i="11" s="1"/>
  <c r="D15" i="9"/>
  <c r="L17" i="9" s="1"/>
  <c r="D34" i="10"/>
  <c r="M48" i="14"/>
  <c r="E48" i="14" s="1"/>
  <c r="D21" i="11"/>
  <c r="C81" i="9"/>
  <c r="D34" i="11"/>
  <c r="C81" i="10"/>
  <c r="M10" i="11"/>
  <c r="N10" i="11" s="1"/>
  <c r="F10" i="11" s="1"/>
  <c r="M20" i="13"/>
  <c r="E20" i="13" s="1"/>
  <c r="K29" i="14"/>
  <c r="G28" i="10"/>
  <c r="E72" i="9"/>
  <c r="N72" i="9"/>
  <c r="F72" i="9" s="1"/>
  <c r="L13" i="13"/>
  <c r="J151" i="1"/>
  <c r="B170" i="1" s="1"/>
  <c r="C113" i="16"/>
  <c r="C118" i="16" s="1"/>
  <c r="L19" i="13"/>
  <c r="C76" i="9"/>
  <c r="L53" i="9"/>
  <c r="M8" i="14"/>
  <c r="E8" i="14" s="1"/>
  <c r="E61" i="14"/>
  <c r="N61" i="14"/>
  <c r="F61" i="14" s="1"/>
  <c r="D56" i="9"/>
  <c r="C79" i="9"/>
  <c r="E56" i="9"/>
  <c r="N56" i="9"/>
  <c r="E65" i="10"/>
  <c r="M9" i="11"/>
  <c r="N9" i="11" s="1"/>
  <c r="C103" i="9"/>
  <c r="C120" i="9" s="1"/>
  <c r="N56" i="11"/>
  <c r="F56" i="11" s="1"/>
  <c r="E56" i="11"/>
  <c r="D33" i="9"/>
  <c r="L17" i="1"/>
  <c r="M21" i="13"/>
  <c r="E21" i="13" s="1"/>
  <c r="G55" i="14"/>
  <c r="D64" i="10"/>
  <c r="M64" i="10"/>
  <c r="L31" i="9"/>
  <c r="C103" i="10"/>
  <c r="C120" i="10" s="1"/>
  <c r="N14" i="1"/>
  <c r="F14" i="1" s="1"/>
  <c r="E14" i="1"/>
  <c r="E45" i="9"/>
  <c r="N45" i="9"/>
  <c r="F45" i="9" s="1"/>
  <c r="L52" i="13"/>
  <c r="M54" i="13"/>
  <c r="D54" i="13"/>
  <c r="K62" i="16"/>
  <c r="L7" i="9"/>
  <c r="D10" i="9"/>
  <c r="L11" i="9" s="1"/>
  <c r="M10" i="9"/>
  <c r="L67" i="1"/>
  <c r="D66" i="16"/>
  <c r="E27" i="9"/>
  <c r="N27" i="9"/>
  <c r="F27" i="9" s="1"/>
  <c r="M52" i="10"/>
  <c r="M72" i="14"/>
  <c r="N72" i="14" s="1"/>
  <c r="F72" i="14" s="1"/>
  <c r="N65" i="10"/>
  <c r="F65" i="10" s="1"/>
  <c r="M75" i="13"/>
  <c r="E75" i="13" s="1"/>
  <c r="E69" i="9"/>
  <c r="N69" i="9"/>
  <c r="F69" i="9" s="1"/>
  <c r="M63" i="10"/>
  <c r="M54" i="9"/>
  <c r="M52" i="9" s="1"/>
  <c r="E21" i="14"/>
  <c r="G21" i="14" s="1"/>
  <c r="D54" i="9"/>
  <c r="N55" i="10"/>
  <c r="L63" i="9"/>
  <c r="D66" i="9"/>
  <c r="M66" i="9"/>
  <c r="E65" i="9"/>
  <c r="N65" i="9"/>
  <c r="F65" i="9" s="1"/>
  <c r="L19" i="14"/>
  <c r="M56" i="10"/>
  <c r="D56" i="10"/>
  <c r="M58" i="10"/>
  <c r="E60" i="10"/>
  <c r="N60" i="10"/>
  <c r="B160" i="16"/>
  <c r="B164" i="16" s="1"/>
  <c r="B129" i="14"/>
  <c r="L25" i="13"/>
  <c r="J149" i="1"/>
  <c r="B169" i="1" s="1"/>
  <c r="B129" i="11"/>
  <c r="B129" i="13"/>
  <c r="L22" i="1"/>
  <c r="C121" i="1"/>
  <c r="C123" i="1" s="1"/>
  <c r="C103" i="14"/>
  <c r="C114" i="14" s="1"/>
  <c r="L31" i="11"/>
  <c r="C103" i="11"/>
  <c r="C114" i="11" s="1"/>
  <c r="L25" i="11"/>
  <c r="N33" i="1"/>
  <c r="M91" i="1"/>
  <c r="L7" i="11"/>
  <c r="B166" i="1"/>
  <c r="G166" i="1" s="1"/>
  <c r="G138" i="1"/>
  <c r="L63" i="11"/>
  <c r="B129" i="10"/>
  <c r="J147" i="1"/>
  <c r="B168" i="1" s="1"/>
  <c r="G39" i="1"/>
  <c r="M57" i="9"/>
  <c r="E66" i="13"/>
  <c r="N66" i="13"/>
  <c r="F66" i="13" s="1"/>
  <c r="M69" i="10"/>
  <c r="D69" i="10"/>
  <c r="D69" i="14"/>
  <c r="M69" i="14"/>
  <c r="M72" i="10"/>
  <c r="D72" i="10"/>
  <c r="C103" i="13"/>
  <c r="M22" i="10"/>
  <c r="D22" i="10"/>
  <c r="K17" i="10"/>
  <c r="L41" i="14"/>
  <c r="N8" i="1"/>
  <c r="F10" i="1"/>
  <c r="G10" i="1" s="1"/>
  <c r="N48" i="1"/>
  <c r="F51" i="1"/>
  <c r="E19" i="1"/>
  <c r="N19" i="1"/>
  <c r="F19" i="1" s="1"/>
  <c r="D27" i="10"/>
  <c r="L25" i="10"/>
  <c r="M27" i="10"/>
  <c r="F60" i="14"/>
  <c r="G60" i="14" s="1"/>
  <c r="C82" i="10"/>
  <c r="M16" i="10"/>
  <c r="D16" i="10"/>
  <c r="N25" i="1"/>
  <c r="F25" i="1" s="1"/>
  <c r="M23" i="1"/>
  <c r="E25" i="1"/>
  <c r="M27" i="1" s="1"/>
  <c r="M8" i="1"/>
  <c r="E11" i="1"/>
  <c r="M12" i="1" s="1"/>
  <c r="C79" i="10"/>
  <c r="M48" i="10"/>
  <c r="D48" i="10"/>
  <c r="M39" i="10"/>
  <c r="D39" i="10"/>
  <c r="L37" i="10"/>
  <c r="L7" i="13"/>
  <c r="D141" i="1"/>
  <c r="D165" i="1" s="1"/>
  <c r="M72" i="13"/>
  <c r="E72" i="13" s="1"/>
  <c r="E60" i="9"/>
  <c r="G60" i="9" s="1"/>
  <c r="M58" i="9"/>
  <c r="L27" i="1"/>
  <c r="M38" i="10"/>
  <c r="D38" i="10"/>
  <c r="M33" i="1"/>
  <c r="E35" i="1"/>
  <c r="G35" i="1" s="1"/>
  <c r="M51" i="10"/>
  <c r="D51" i="10"/>
  <c r="N10" i="10"/>
  <c r="E10" i="10"/>
  <c r="M26" i="14"/>
  <c r="E26" i="14" s="1"/>
  <c r="M14" i="14"/>
  <c r="E14" i="14" s="1"/>
  <c r="C76" i="13"/>
  <c r="N38" i="9"/>
  <c r="F38" i="9" s="1"/>
  <c r="E38" i="9"/>
  <c r="K23" i="10"/>
  <c r="D14" i="10"/>
  <c r="M14" i="10"/>
  <c r="M45" i="10"/>
  <c r="D45" i="10"/>
  <c r="M21" i="10"/>
  <c r="N21" i="10" s="1"/>
  <c r="D21" i="10"/>
  <c r="L19" i="10"/>
  <c r="N34" i="10"/>
  <c r="F34" i="10" s="1"/>
  <c r="E34" i="10"/>
  <c r="L7" i="10"/>
  <c r="D9" i="10"/>
  <c r="M9" i="10"/>
  <c r="N9" i="10" s="1"/>
  <c r="F9" i="10" s="1"/>
  <c r="K41" i="10"/>
  <c r="M26" i="10"/>
  <c r="D26" i="10"/>
  <c r="D65" i="13"/>
  <c r="M65" i="13"/>
  <c r="N65" i="13" s="1"/>
  <c r="L63" i="13"/>
  <c r="L62" i="13"/>
  <c r="E51" i="1"/>
  <c r="M48" i="1"/>
  <c r="M20" i="10"/>
  <c r="D20" i="10"/>
  <c r="K29" i="10"/>
  <c r="D69" i="11"/>
  <c r="M69" i="11"/>
  <c r="D39" i="13"/>
  <c r="M39" i="13"/>
  <c r="N39" i="13" s="1"/>
  <c r="F39" i="13" s="1"/>
  <c r="C80" i="10"/>
  <c r="M60" i="13"/>
  <c r="L58" i="13"/>
  <c r="D60" i="13"/>
  <c r="D33" i="10"/>
  <c r="M33" i="10"/>
  <c r="N33" i="10" s="1"/>
  <c r="F33" i="10" s="1"/>
  <c r="L31" i="10"/>
  <c r="D22" i="11"/>
  <c r="M22" i="11"/>
  <c r="C76" i="10"/>
  <c r="N32" i="9"/>
  <c r="F32" i="9" s="1"/>
  <c r="E32" i="9"/>
  <c r="L75" i="1"/>
  <c r="M77" i="1"/>
  <c r="N78" i="1"/>
  <c r="F78" i="1" s="1"/>
  <c r="M79" i="1"/>
  <c r="L41" i="11"/>
  <c r="K35" i="14"/>
  <c r="E34" i="11"/>
  <c r="N34" i="11"/>
  <c r="E66" i="11"/>
  <c r="N66" i="11"/>
  <c r="F66" i="11" s="1"/>
  <c r="E27" i="14"/>
  <c r="N27" i="14"/>
  <c r="N42" i="1"/>
  <c r="G40" i="1"/>
  <c r="N33" i="9"/>
  <c r="E33" i="9"/>
  <c r="F30" i="1"/>
  <c r="G92" i="1"/>
  <c r="K23" i="14"/>
  <c r="D45" i="13"/>
  <c r="M45" i="13"/>
  <c r="F55" i="13"/>
  <c r="G55" i="13" s="1"/>
  <c r="M69" i="1"/>
  <c r="N70" i="1"/>
  <c r="F70" i="1" s="1"/>
  <c r="M73" i="1"/>
  <c r="F74" i="1"/>
  <c r="M75" i="1"/>
  <c r="L32" i="1"/>
  <c r="K41" i="14"/>
  <c r="C76" i="14"/>
  <c r="K11" i="14"/>
  <c r="D27" i="11"/>
  <c r="M27" i="11"/>
  <c r="G86" i="1"/>
  <c r="L31" i="14"/>
  <c r="D34" i="14"/>
  <c r="M34" i="14"/>
  <c r="K41" i="11"/>
  <c r="E9" i="14"/>
  <c r="N9" i="14"/>
  <c r="C79" i="13"/>
  <c r="K11" i="13"/>
  <c r="E20" i="11"/>
  <c r="N20" i="11"/>
  <c r="F20" i="11" s="1"/>
  <c r="E8" i="11"/>
  <c r="N8" i="11"/>
  <c r="F8" i="11" s="1"/>
  <c r="C79" i="14"/>
  <c r="E33" i="14"/>
  <c r="N33" i="14"/>
  <c r="D16" i="13"/>
  <c r="M16" i="13"/>
  <c r="D15" i="13"/>
  <c r="M15" i="13"/>
  <c r="E59" i="13"/>
  <c r="N59" i="13"/>
  <c r="L52" i="1"/>
  <c r="N10" i="13"/>
  <c r="F10" i="13" s="1"/>
  <c r="E10" i="13"/>
  <c r="N37" i="1"/>
  <c r="E87" i="1"/>
  <c r="N87" i="1"/>
  <c r="M84" i="1"/>
  <c r="M85" i="1"/>
  <c r="D14" i="11"/>
  <c r="M14" i="11"/>
  <c r="F15" i="1"/>
  <c r="L62" i="1"/>
  <c r="F59" i="9"/>
  <c r="G59" i="9" s="1"/>
  <c r="N57" i="9"/>
  <c r="D114" i="1"/>
  <c r="E16" i="1"/>
  <c r="N16" i="1"/>
  <c r="F16" i="1" s="1"/>
  <c r="L31" i="13"/>
  <c r="D33" i="13"/>
  <c r="M33" i="13"/>
  <c r="G29" i="1"/>
  <c r="E49" i="1"/>
  <c r="N49" i="1"/>
  <c r="F49" i="1" s="1"/>
  <c r="L89" i="1"/>
  <c r="D119" i="1"/>
  <c r="G20" i="9"/>
  <c r="M13" i="1"/>
  <c r="M96" i="1"/>
  <c r="N99" i="1"/>
  <c r="N96" i="1" s="1"/>
  <c r="E99" i="1"/>
  <c r="M101" i="1" s="1"/>
  <c r="M97" i="1"/>
  <c r="D16" i="14"/>
  <c r="M16" i="14"/>
  <c r="D51" i="13"/>
  <c r="M51" i="13"/>
  <c r="E56" i="14"/>
  <c r="N56" i="14"/>
  <c r="M53" i="14"/>
  <c r="G44" i="1"/>
  <c r="F26" i="1"/>
  <c r="M43" i="1"/>
  <c r="E45" i="1"/>
  <c r="M47" i="1" s="1"/>
  <c r="N45" i="1"/>
  <c r="F45" i="1" s="1"/>
  <c r="L57" i="1"/>
  <c r="F15" i="10"/>
  <c r="D38" i="13"/>
  <c r="M38" i="13"/>
  <c r="L62" i="11"/>
  <c r="D64" i="11"/>
  <c r="M64" i="11"/>
  <c r="D32" i="11"/>
  <c r="M32" i="11"/>
  <c r="N16" i="9"/>
  <c r="F16" i="9" s="1"/>
  <c r="E16" i="9"/>
  <c r="D14" i="13"/>
  <c r="M14" i="13"/>
  <c r="D48" i="13"/>
  <c r="M48" i="13"/>
  <c r="D22" i="13"/>
  <c r="L23" i="13" s="1"/>
  <c r="M22" i="13"/>
  <c r="K17" i="13"/>
  <c r="L13" i="11"/>
  <c r="D15" i="11"/>
  <c r="M15" i="11"/>
  <c r="D33" i="11"/>
  <c r="M33" i="11"/>
  <c r="E104" i="1"/>
  <c r="N104" i="1"/>
  <c r="C81" i="11"/>
  <c r="F65" i="14"/>
  <c r="E32" i="13"/>
  <c r="N32" i="13"/>
  <c r="F32" i="13" s="1"/>
  <c r="D69" i="13"/>
  <c r="D82" i="13" s="1"/>
  <c r="M69" i="13"/>
  <c r="C76" i="11"/>
  <c r="K17" i="11"/>
  <c r="F46" i="1"/>
  <c r="G46" i="1" s="1"/>
  <c r="L71" i="1"/>
  <c r="E31" i="1"/>
  <c r="N31" i="1"/>
  <c r="F31" i="1" s="1"/>
  <c r="G8" i="9"/>
  <c r="D34" i="13"/>
  <c r="M34" i="13"/>
  <c r="C81" i="14"/>
  <c r="N88" i="1"/>
  <c r="F88" i="1" s="1"/>
  <c r="D8" i="13"/>
  <c r="M8" i="13"/>
  <c r="F98" i="1"/>
  <c r="G98" i="1" s="1"/>
  <c r="D48" i="11"/>
  <c r="M48" i="11"/>
  <c r="M18" i="1"/>
  <c r="E20" i="1"/>
  <c r="N20" i="1"/>
  <c r="C81" i="13"/>
  <c r="F61" i="9"/>
  <c r="N58" i="9"/>
  <c r="M58" i="1"/>
  <c r="N60" i="1"/>
  <c r="N60" i="16" s="1"/>
  <c r="E60" i="1"/>
  <c r="L101" i="1"/>
  <c r="D10" i="14"/>
  <c r="L11" i="14" s="1"/>
  <c r="M10" i="14"/>
  <c r="D27" i="13"/>
  <c r="M27" i="13"/>
  <c r="F59" i="11"/>
  <c r="G59" i="11" s="1"/>
  <c r="E64" i="14"/>
  <c r="M62" i="14"/>
  <c r="N64" i="14"/>
  <c r="N55" i="1"/>
  <c r="N55" i="16" s="1"/>
  <c r="E55" i="1"/>
  <c r="M53" i="1"/>
  <c r="M63" i="1"/>
  <c r="N66" i="1"/>
  <c r="N66" i="16" s="1"/>
  <c r="E66" i="1"/>
  <c r="K29" i="11"/>
  <c r="L79" i="1"/>
  <c r="D75" i="14"/>
  <c r="M75" i="14"/>
  <c r="D28" i="13"/>
  <c r="M28" i="13"/>
  <c r="M54" i="14"/>
  <c r="D54" i="14"/>
  <c r="L52" i="14"/>
  <c r="D28" i="14"/>
  <c r="M28" i="14"/>
  <c r="C80" i="13"/>
  <c r="D16" i="11"/>
  <c r="M16" i="11"/>
  <c r="E72" i="11"/>
  <c r="N72" i="11"/>
  <c r="F72" i="11" s="1"/>
  <c r="E26" i="11"/>
  <c r="N26" i="11"/>
  <c r="F26" i="11" s="1"/>
  <c r="N40" i="10"/>
  <c r="E40" i="10"/>
  <c r="D32" i="14"/>
  <c r="M32" i="14"/>
  <c r="E39" i="14"/>
  <c r="N39" i="14"/>
  <c r="M7" i="13"/>
  <c r="E9" i="13"/>
  <c r="N9" i="13"/>
  <c r="K23" i="13"/>
  <c r="D65" i="11"/>
  <c r="M65" i="11"/>
  <c r="K35" i="11"/>
  <c r="L105" i="1"/>
  <c r="D120" i="1"/>
  <c r="D80" i="14"/>
  <c r="D28" i="11"/>
  <c r="M28" i="11"/>
  <c r="E38" i="11"/>
  <c r="N38" i="11"/>
  <c r="F38" i="11" s="1"/>
  <c r="F9" i="1"/>
  <c r="E20" i="14"/>
  <c r="N20" i="14"/>
  <c r="F20" i="14" s="1"/>
  <c r="C82" i="13"/>
  <c r="C79" i="11"/>
  <c r="F112" i="1" l="1"/>
  <c r="N113" i="1" s="1"/>
  <c r="B154" i="1"/>
  <c r="B156" i="1" s="1"/>
  <c r="B163" i="1" s="1"/>
  <c r="N95" i="1"/>
  <c r="G94" i="1"/>
  <c r="N52" i="10"/>
  <c r="N38" i="14"/>
  <c r="F38" i="14" s="1"/>
  <c r="E40" i="9"/>
  <c r="G40" i="9" s="1"/>
  <c r="N22" i="9"/>
  <c r="F22" i="9" s="1"/>
  <c r="E9" i="11"/>
  <c r="M53" i="13"/>
  <c r="N56" i="13"/>
  <c r="F56" i="13" s="1"/>
  <c r="G56" i="13" s="1"/>
  <c r="F56" i="1"/>
  <c r="G56" i="1" s="1"/>
  <c r="G75" i="10"/>
  <c r="F118" i="1"/>
  <c r="E117" i="1"/>
  <c r="E118" i="1"/>
  <c r="N40" i="11"/>
  <c r="F40" i="11" s="1"/>
  <c r="G40" i="11" s="1"/>
  <c r="N40" i="14"/>
  <c r="F40" i="14" s="1"/>
  <c r="E40" i="14"/>
  <c r="M41" i="14" s="1"/>
  <c r="B129" i="9"/>
  <c r="J145" i="1"/>
  <c r="B167" i="1" s="1"/>
  <c r="N34" i="9"/>
  <c r="F34" i="9" s="1"/>
  <c r="G34" i="9" s="1"/>
  <c r="N21" i="9"/>
  <c r="F21" i="9" s="1"/>
  <c r="G21" i="9" s="1"/>
  <c r="F64" i="1"/>
  <c r="G64" i="1" s="1"/>
  <c r="N81" i="1"/>
  <c r="P82" i="1" s="1"/>
  <c r="E45" i="14"/>
  <c r="G45" i="14" s="1"/>
  <c r="N61" i="16"/>
  <c r="F61" i="16" s="1"/>
  <c r="G61" i="16" s="1"/>
  <c r="M37" i="11"/>
  <c r="M57" i="10"/>
  <c r="G65" i="14"/>
  <c r="N75" i="11"/>
  <c r="F75" i="11" s="1"/>
  <c r="G75" i="11" s="1"/>
  <c r="E59" i="10"/>
  <c r="E64" i="13"/>
  <c r="Q41" i="1"/>
  <c r="Q39" i="1"/>
  <c r="A39" i="1" s="1"/>
  <c r="E48" i="9"/>
  <c r="G48" i="9" s="1"/>
  <c r="N61" i="13"/>
  <c r="F61" i="13" s="1"/>
  <c r="G61" i="13" s="1"/>
  <c r="N39" i="11"/>
  <c r="G61" i="9"/>
  <c r="E32" i="10"/>
  <c r="G32" i="10" s="1"/>
  <c r="N91" i="1"/>
  <c r="P92" i="1" s="1"/>
  <c r="D81" i="10"/>
  <c r="E39" i="11"/>
  <c r="M41" i="11" s="1"/>
  <c r="Q40" i="1"/>
  <c r="A40" i="1" s="1"/>
  <c r="N28" i="9"/>
  <c r="F28" i="9" s="1"/>
  <c r="N29" i="9" s="1"/>
  <c r="E28" i="9"/>
  <c r="M29" i="9" s="1"/>
  <c r="D103" i="14"/>
  <c r="D120" i="14" s="1"/>
  <c r="M25" i="9"/>
  <c r="E22" i="14"/>
  <c r="M23" i="14" s="1"/>
  <c r="E15" i="14"/>
  <c r="N51" i="14"/>
  <c r="F51" i="14" s="1"/>
  <c r="G51" i="14" s="1"/>
  <c r="G112" i="1"/>
  <c r="N22" i="14"/>
  <c r="F22" i="14" s="1"/>
  <c r="D120" i="10"/>
  <c r="D114" i="9"/>
  <c r="F104" i="1"/>
  <c r="G104" i="1" s="1"/>
  <c r="N103" i="1"/>
  <c r="C120" i="14"/>
  <c r="M109" i="1"/>
  <c r="G108" i="1"/>
  <c r="M31" i="9"/>
  <c r="G21" i="11"/>
  <c r="C120" i="11"/>
  <c r="M19" i="9"/>
  <c r="N58" i="14"/>
  <c r="Q61" i="14" s="1"/>
  <c r="M23" i="9"/>
  <c r="N90" i="1"/>
  <c r="M58" i="11"/>
  <c r="M37" i="9"/>
  <c r="G93" i="1"/>
  <c r="D82" i="11"/>
  <c r="G65" i="10"/>
  <c r="N53" i="16"/>
  <c r="Q56" i="16" s="1"/>
  <c r="F55" i="10"/>
  <c r="G55" i="10" s="1"/>
  <c r="G82" i="1"/>
  <c r="N39" i="9"/>
  <c r="F39" i="9" s="1"/>
  <c r="M13" i="9"/>
  <c r="E39" i="9"/>
  <c r="D103" i="11"/>
  <c r="D120" i="11" s="1"/>
  <c r="N45" i="11"/>
  <c r="F45" i="11" s="1"/>
  <c r="G45" i="11" s="1"/>
  <c r="N75" i="13"/>
  <c r="F75" i="13" s="1"/>
  <c r="G75" i="13" s="1"/>
  <c r="N66" i="14"/>
  <c r="F66" i="14" s="1"/>
  <c r="C120" i="16"/>
  <c r="C160" i="16" s="1"/>
  <c r="E60" i="11"/>
  <c r="F59" i="14"/>
  <c r="G59" i="14" s="1"/>
  <c r="F82" i="9"/>
  <c r="E10" i="11"/>
  <c r="N60" i="11"/>
  <c r="N57" i="11" s="1"/>
  <c r="N20" i="13"/>
  <c r="F20" i="13" s="1"/>
  <c r="G20" i="13" s="1"/>
  <c r="N40" i="13"/>
  <c r="F40" i="13" s="1"/>
  <c r="G40" i="13" s="1"/>
  <c r="E55" i="11"/>
  <c r="N55" i="11"/>
  <c r="N52" i="11" s="1"/>
  <c r="D113" i="16"/>
  <c r="D118" i="16" s="1"/>
  <c r="D192" i="1" s="1"/>
  <c r="E66" i="14"/>
  <c r="L11" i="10"/>
  <c r="L62" i="16"/>
  <c r="M52" i="11"/>
  <c r="F80" i="9"/>
  <c r="G61" i="1"/>
  <c r="F59" i="1"/>
  <c r="N59" i="16"/>
  <c r="E65" i="16"/>
  <c r="E26" i="13"/>
  <c r="G26" i="13" s="1"/>
  <c r="F65" i="1"/>
  <c r="N65" i="16"/>
  <c r="N63" i="16" s="1"/>
  <c r="Q65" i="16" s="1"/>
  <c r="L35" i="10"/>
  <c r="D81" i="9"/>
  <c r="G45" i="9"/>
  <c r="L23" i="11"/>
  <c r="N48" i="14"/>
  <c r="F48" i="14" s="1"/>
  <c r="G48" i="14" s="1"/>
  <c r="N8" i="14"/>
  <c r="F8" i="14" s="1"/>
  <c r="G8" i="14" s="1"/>
  <c r="N72" i="13"/>
  <c r="F72" i="13" s="1"/>
  <c r="G72" i="13" s="1"/>
  <c r="N63" i="10"/>
  <c r="Q66" i="10" s="1"/>
  <c r="N21" i="13"/>
  <c r="F21" i="13" s="1"/>
  <c r="G21" i="13" s="1"/>
  <c r="D81" i="14"/>
  <c r="D76" i="9"/>
  <c r="C114" i="9"/>
  <c r="N15" i="9"/>
  <c r="N13" i="9" s="1"/>
  <c r="C83" i="9"/>
  <c r="D103" i="13"/>
  <c r="D114" i="13" s="1"/>
  <c r="G51" i="9"/>
  <c r="N26" i="14"/>
  <c r="F26" i="14" s="1"/>
  <c r="G26" i="14" s="1"/>
  <c r="N51" i="11"/>
  <c r="F51" i="11" s="1"/>
  <c r="G51" i="11" s="1"/>
  <c r="C114" i="10"/>
  <c r="M7" i="11"/>
  <c r="E72" i="14"/>
  <c r="G72" i="14" s="1"/>
  <c r="N52" i="1"/>
  <c r="G51" i="1"/>
  <c r="G56" i="11"/>
  <c r="G72" i="9"/>
  <c r="G14" i="1"/>
  <c r="D79" i="9"/>
  <c r="D110" i="16"/>
  <c r="N54" i="9"/>
  <c r="F54" i="9" s="1"/>
  <c r="E54" i="9"/>
  <c r="Q36" i="1"/>
  <c r="F56" i="9"/>
  <c r="G56" i="9" s="1"/>
  <c r="N53" i="9"/>
  <c r="Q56" i="9" s="1"/>
  <c r="L35" i="9"/>
  <c r="N14" i="14"/>
  <c r="F14" i="14" s="1"/>
  <c r="G14" i="14" s="1"/>
  <c r="G27" i="9"/>
  <c r="G65" i="9"/>
  <c r="E64" i="10"/>
  <c r="N64" i="10"/>
  <c r="N62" i="9"/>
  <c r="G61" i="14"/>
  <c r="M62" i="10"/>
  <c r="M62" i="1"/>
  <c r="E60" i="16"/>
  <c r="E56" i="10"/>
  <c r="M53" i="10"/>
  <c r="N56" i="10"/>
  <c r="F56" i="10" s="1"/>
  <c r="L67" i="16"/>
  <c r="E54" i="13"/>
  <c r="M52" i="13"/>
  <c r="N54" i="13"/>
  <c r="M67" i="1"/>
  <c r="E66" i="16"/>
  <c r="E82" i="9"/>
  <c r="G69" i="9"/>
  <c r="N10" i="9"/>
  <c r="M7" i="9"/>
  <c r="E10" i="9"/>
  <c r="F60" i="10"/>
  <c r="G60" i="10" s="1"/>
  <c r="N58" i="10"/>
  <c r="M63" i="9"/>
  <c r="N66" i="9"/>
  <c r="E66" i="9"/>
  <c r="M57" i="1"/>
  <c r="E55" i="16"/>
  <c r="C192" i="1"/>
  <c r="B158" i="16"/>
  <c r="Q35" i="1"/>
  <c r="L35" i="14"/>
  <c r="D121" i="1"/>
  <c r="G19" i="1"/>
  <c r="G193" i="1"/>
  <c r="M17" i="9"/>
  <c r="G8" i="11"/>
  <c r="M37" i="1"/>
  <c r="G66" i="11"/>
  <c r="M62" i="13"/>
  <c r="D81" i="13"/>
  <c r="L35" i="13"/>
  <c r="G32" i="13"/>
  <c r="N35" i="10"/>
  <c r="G34" i="10"/>
  <c r="N31" i="10"/>
  <c r="B161" i="1"/>
  <c r="B159" i="1" s="1"/>
  <c r="E103" i="9"/>
  <c r="E120" i="9" s="1"/>
  <c r="G88" i="1"/>
  <c r="G38" i="9"/>
  <c r="G25" i="1"/>
  <c r="L23" i="10"/>
  <c r="L29" i="10"/>
  <c r="C83" i="10"/>
  <c r="C85" i="10" s="1"/>
  <c r="G66" i="13"/>
  <c r="M57" i="13"/>
  <c r="N60" i="13"/>
  <c r="N57" i="13" s="1"/>
  <c r="E69" i="11"/>
  <c r="E82" i="11" s="1"/>
  <c r="N69" i="11"/>
  <c r="F69" i="11" s="1"/>
  <c r="E20" i="10"/>
  <c r="N20" i="10"/>
  <c r="F20" i="10" s="1"/>
  <c r="E39" i="10"/>
  <c r="N39" i="10"/>
  <c r="F39" i="10" s="1"/>
  <c r="M25" i="10"/>
  <c r="N27" i="10"/>
  <c r="E27" i="10"/>
  <c r="E69" i="14"/>
  <c r="N69" i="14"/>
  <c r="F69" i="14" s="1"/>
  <c r="D82" i="10"/>
  <c r="D79" i="10"/>
  <c r="P34" i="1"/>
  <c r="M35" i="9"/>
  <c r="F65" i="13"/>
  <c r="N63" i="13"/>
  <c r="F21" i="10"/>
  <c r="D76" i="10"/>
  <c r="E51" i="10"/>
  <c r="N51" i="10"/>
  <c r="F51" i="10" s="1"/>
  <c r="N72" i="10"/>
  <c r="F72" i="10" s="1"/>
  <c r="E72" i="10"/>
  <c r="N69" i="10"/>
  <c r="F69" i="10" s="1"/>
  <c r="E69" i="10"/>
  <c r="G16" i="9"/>
  <c r="Q34" i="1"/>
  <c r="L29" i="11"/>
  <c r="E48" i="10"/>
  <c r="N48" i="10"/>
  <c r="F48" i="10" s="1"/>
  <c r="E22" i="10"/>
  <c r="N22" i="10"/>
  <c r="F22" i="10" s="1"/>
  <c r="N7" i="10"/>
  <c r="F10" i="10"/>
  <c r="G10" i="10" s="1"/>
  <c r="E16" i="10"/>
  <c r="N16" i="10"/>
  <c r="M13" i="10"/>
  <c r="C114" i="13"/>
  <c r="C120" i="13"/>
  <c r="G11" i="1"/>
  <c r="E33" i="10"/>
  <c r="M31" i="10"/>
  <c r="M52" i="1"/>
  <c r="N38" i="10"/>
  <c r="F38" i="10" s="1"/>
  <c r="E38" i="10"/>
  <c r="M37" i="10"/>
  <c r="G15" i="10"/>
  <c r="N47" i="1"/>
  <c r="N23" i="1"/>
  <c r="Q24" i="1" s="1"/>
  <c r="N26" i="10"/>
  <c r="F26" i="10" s="1"/>
  <c r="E26" i="10"/>
  <c r="E9" i="10"/>
  <c r="M7" i="10"/>
  <c r="N45" i="10"/>
  <c r="F45" i="10" s="1"/>
  <c r="E45" i="10"/>
  <c r="D80" i="10"/>
  <c r="Q9" i="1"/>
  <c r="Q11" i="1"/>
  <c r="Q10" i="1"/>
  <c r="P9" i="1"/>
  <c r="E60" i="13"/>
  <c r="M58" i="13"/>
  <c r="E21" i="10"/>
  <c r="M19" i="10"/>
  <c r="L17" i="10"/>
  <c r="G31" i="1"/>
  <c r="D79" i="11"/>
  <c r="G26" i="11"/>
  <c r="G20" i="11"/>
  <c r="M89" i="1"/>
  <c r="L41" i="10"/>
  <c r="N32" i="1"/>
  <c r="N22" i="11"/>
  <c r="E22" i="11"/>
  <c r="M23" i="11" s="1"/>
  <c r="M19" i="11"/>
  <c r="E39" i="13"/>
  <c r="G39" i="13" s="1"/>
  <c r="M37" i="13"/>
  <c r="Q50" i="1"/>
  <c r="P49" i="1"/>
  <c r="Q51" i="1"/>
  <c r="Q49" i="1"/>
  <c r="E65" i="13"/>
  <c r="M63" i="13"/>
  <c r="N14" i="10"/>
  <c r="F14" i="10" s="1"/>
  <c r="E14" i="10"/>
  <c r="E28" i="14"/>
  <c r="M29" i="14" s="1"/>
  <c r="N28" i="14"/>
  <c r="F28" i="14" s="1"/>
  <c r="M25" i="13"/>
  <c r="E27" i="13"/>
  <c r="N27" i="13"/>
  <c r="D80" i="11"/>
  <c r="E34" i="13"/>
  <c r="N34" i="13"/>
  <c r="F34" i="13" s="1"/>
  <c r="E14" i="13"/>
  <c r="N14" i="13"/>
  <c r="F14" i="13" s="1"/>
  <c r="E51" i="13"/>
  <c r="N51" i="13"/>
  <c r="F51" i="13" s="1"/>
  <c r="N17" i="1"/>
  <c r="N73" i="1"/>
  <c r="N75" i="1"/>
  <c r="E45" i="13"/>
  <c r="N45" i="13"/>
  <c r="F45" i="13" s="1"/>
  <c r="G15" i="1"/>
  <c r="F33" i="9"/>
  <c r="G33" i="9" s="1"/>
  <c r="F27" i="14"/>
  <c r="G27" i="14" s="1"/>
  <c r="F64" i="13"/>
  <c r="N62" i="13"/>
  <c r="E28" i="11"/>
  <c r="N28" i="11"/>
  <c r="F28" i="11" s="1"/>
  <c r="D81" i="11"/>
  <c r="E32" i="14"/>
  <c r="N32" i="14"/>
  <c r="F32" i="14" s="1"/>
  <c r="F66" i="1"/>
  <c r="F66" i="16" s="1"/>
  <c r="N63" i="1"/>
  <c r="Q64" i="1" s="1"/>
  <c r="N53" i="1"/>
  <c r="Q54" i="1" s="1"/>
  <c r="F55" i="1"/>
  <c r="M22" i="1"/>
  <c r="N43" i="1"/>
  <c r="Q45" i="1" s="1"/>
  <c r="E33" i="11"/>
  <c r="N33" i="11"/>
  <c r="F33" i="11" s="1"/>
  <c r="M31" i="11"/>
  <c r="E22" i="13"/>
  <c r="M23" i="13" s="1"/>
  <c r="N22" i="13"/>
  <c r="F22" i="13" s="1"/>
  <c r="D79" i="14"/>
  <c r="L17" i="13"/>
  <c r="F59" i="10"/>
  <c r="N57" i="10"/>
  <c r="E32" i="11"/>
  <c r="N32" i="11"/>
  <c r="F32" i="11" s="1"/>
  <c r="G45" i="1"/>
  <c r="M32" i="1"/>
  <c r="G16" i="1"/>
  <c r="E141" i="1"/>
  <c r="L29" i="14"/>
  <c r="E16" i="13"/>
  <c r="N16" i="13"/>
  <c r="F16" i="13" s="1"/>
  <c r="F33" i="14"/>
  <c r="G33" i="14" s="1"/>
  <c r="F9" i="14"/>
  <c r="E34" i="14"/>
  <c r="N34" i="14"/>
  <c r="F34" i="14" s="1"/>
  <c r="M31" i="14"/>
  <c r="E119" i="1"/>
  <c r="M25" i="11"/>
  <c r="E27" i="11"/>
  <c r="N27" i="11"/>
  <c r="D80" i="13"/>
  <c r="N28" i="1"/>
  <c r="M17" i="1"/>
  <c r="F34" i="11"/>
  <c r="G34" i="11" s="1"/>
  <c r="N77" i="1"/>
  <c r="N79" i="1"/>
  <c r="C83" i="11"/>
  <c r="C85" i="11" s="1"/>
  <c r="F15" i="14"/>
  <c r="E28" i="13"/>
  <c r="N28" i="13"/>
  <c r="F28" i="13" s="1"/>
  <c r="F64" i="14"/>
  <c r="G64" i="14" s="1"/>
  <c r="N62" i="14"/>
  <c r="E10" i="14"/>
  <c r="N10" i="14"/>
  <c r="F10" i="14" s="1"/>
  <c r="N18" i="1"/>
  <c r="Q21" i="1" s="1"/>
  <c r="F20" i="1"/>
  <c r="N22" i="1" s="1"/>
  <c r="G72" i="11"/>
  <c r="E69" i="13"/>
  <c r="N69" i="13"/>
  <c r="F69" i="13" s="1"/>
  <c r="M31" i="13"/>
  <c r="E33" i="13"/>
  <c r="N33" i="13"/>
  <c r="F39" i="14"/>
  <c r="G39" i="14" s="1"/>
  <c r="E16" i="11"/>
  <c r="N16" i="11"/>
  <c r="F16" i="11" s="1"/>
  <c r="E54" i="14"/>
  <c r="N54" i="14"/>
  <c r="M52" i="14"/>
  <c r="E103" i="14" s="1"/>
  <c r="E75" i="14"/>
  <c r="N75" i="14"/>
  <c r="F75" i="14" s="1"/>
  <c r="Q60" i="9"/>
  <c r="Q59" i="9"/>
  <c r="Q61" i="9"/>
  <c r="P59" i="9"/>
  <c r="G32" i="9"/>
  <c r="E114" i="1"/>
  <c r="E8" i="13"/>
  <c r="N8" i="13"/>
  <c r="F8" i="13" s="1"/>
  <c r="D76" i="11"/>
  <c r="E48" i="13"/>
  <c r="N48" i="13"/>
  <c r="F48" i="13" s="1"/>
  <c r="L35" i="11"/>
  <c r="E38" i="13"/>
  <c r="N38" i="13"/>
  <c r="F38" i="13" s="1"/>
  <c r="F56" i="14"/>
  <c r="G56" i="14" s="1"/>
  <c r="N53" i="14"/>
  <c r="P54" i="14" s="1"/>
  <c r="E16" i="14"/>
  <c r="N16" i="14"/>
  <c r="F16" i="14" s="1"/>
  <c r="M13" i="14"/>
  <c r="N97" i="1"/>
  <c r="P98" i="1" s="1"/>
  <c r="F99" i="1"/>
  <c r="G99" i="1" s="1"/>
  <c r="E14" i="11"/>
  <c r="N14" i="11"/>
  <c r="F14" i="11" s="1"/>
  <c r="N84" i="1"/>
  <c r="F87" i="1"/>
  <c r="N85" i="1"/>
  <c r="Q87" i="1" s="1"/>
  <c r="L29" i="13"/>
  <c r="G49" i="1"/>
  <c r="M71" i="1"/>
  <c r="M25" i="14"/>
  <c r="G30" i="1"/>
  <c r="F9" i="11"/>
  <c r="N7" i="11"/>
  <c r="F60" i="1"/>
  <c r="N58" i="1"/>
  <c r="P59" i="1" s="1"/>
  <c r="N12" i="1"/>
  <c r="E65" i="11"/>
  <c r="N65" i="11"/>
  <c r="M63" i="11"/>
  <c r="N7" i="13"/>
  <c r="Q10" i="13" s="1"/>
  <c r="F9" i="13"/>
  <c r="G9" i="13" s="1"/>
  <c r="F40" i="10"/>
  <c r="D82" i="14"/>
  <c r="G9" i="1"/>
  <c r="E48" i="11"/>
  <c r="E80" i="11" s="1"/>
  <c r="N48" i="11"/>
  <c r="F48" i="11" s="1"/>
  <c r="D76" i="13"/>
  <c r="L11" i="13"/>
  <c r="D79" i="13"/>
  <c r="G38" i="14"/>
  <c r="M105" i="1"/>
  <c r="E120" i="1"/>
  <c r="E15" i="11"/>
  <c r="N15" i="11"/>
  <c r="M13" i="11"/>
  <c r="D76" i="14"/>
  <c r="N64" i="11"/>
  <c r="E64" i="11"/>
  <c r="M62" i="11"/>
  <c r="L41" i="13"/>
  <c r="N27" i="1"/>
  <c r="G26" i="1"/>
  <c r="G20" i="14"/>
  <c r="N13" i="1"/>
  <c r="Q15" i="1" s="1"/>
  <c r="L17" i="11"/>
  <c r="G10" i="13"/>
  <c r="F59" i="13"/>
  <c r="G59" i="13" s="1"/>
  <c r="M13" i="13"/>
  <c r="E15" i="13"/>
  <c r="N15" i="13"/>
  <c r="C83" i="14"/>
  <c r="C83" i="13"/>
  <c r="M7" i="14"/>
  <c r="G38" i="11"/>
  <c r="N69" i="1"/>
  <c r="P70" i="1" s="1"/>
  <c r="M19" i="13"/>
  <c r="L17" i="14"/>
  <c r="M41" i="9" l="1"/>
  <c r="B172" i="1"/>
  <c r="B178" i="1" s="1"/>
  <c r="C158" i="16"/>
  <c r="C156" i="16" s="1"/>
  <c r="C164" i="16"/>
  <c r="G9" i="11"/>
  <c r="E80" i="9"/>
  <c r="G80" i="9" s="1"/>
  <c r="M11" i="11"/>
  <c r="N31" i="9"/>
  <c r="Q33" i="9" s="1"/>
  <c r="N19" i="9"/>
  <c r="Q20" i="9" s="1"/>
  <c r="F56" i="16"/>
  <c r="G56" i="16" s="1"/>
  <c r="N53" i="13"/>
  <c r="Q54" i="13" s="1"/>
  <c r="N37" i="14"/>
  <c r="Q40" i="14" s="1"/>
  <c r="N37" i="11"/>
  <c r="Q39" i="11" s="1"/>
  <c r="N23" i="9"/>
  <c r="G40" i="14"/>
  <c r="N58" i="16"/>
  <c r="Q61" i="16" s="1"/>
  <c r="F117" i="1"/>
  <c r="F39" i="11"/>
  <c r="N41" i="11" s="1"/>
  <c r="F64" i="16"/>
  <c r="G64" i="16" s="1"/>
  <c r="Q82" i="1"/>
  <c r="A82" i="1" s="1"/>
  <c r="C85" i="9"/>
  <c r="C118" i="9" s="1"/>
  <c r="C116" i="9" s="1"/>
  <c r="M17" i="14"/>
  <c r="E80" i="14"/>
  <c r="E103" i="10"/>
  <c r="E114" i="10" s="1"/>
  <c r="F120" i="1"/>
  <c r="G120" i="1" s="1"/>
  <c r="N19" i="14"/>
  <c r="Q20" i="14" s="1"/>
  <c r="D114" i="14"/>
  <c r="Q59" i="14"/>
  <c r="G10" i="11"/>
  <c r="F82" i="11"/>
  <c r="G82" i="11" s="1"/>
  <c r="G59" i="10"/>
  <c r="Q94" i="1"/>
  <c r="Q93" i="1"/>
  <c r="A93" i="1" s="1"/>
  <c r="F55" i="11"/>
  <c r="G55" i="11" s="1"/>
  <c r="Q92" i="1"/>
  <c r="A92" i="1" s="1"/>
  <c r="G64" i="13"/>
  <c r="N25" i="9"/>
  <c r="Q27" i="9" s="1"/>
  <c r="G22" i="14"/>
  <c r="G15" i="14"/>
  <c r="P59" i="14"/>
  <c r="E79" i="9"/>
  <c r="G28" i="9"/>
  <c r="F60" i="11"/>
  <c r="G60" i="11" s="1"/>
  <c r="N105" i="1"/>
  <c r="N37" i="13"/>
  <c r="Q38" i="13" s="1"/>
  <c r="D114" i="11"/>
  <c r="Q60" i="14"/>
  <c r="C118" i="10"/>
  <c r="C116" i="10" s="1"/>
  <c r="G66" i="14"/>
  <c r="F80" i="14"/>
  <c r="G82" i="9"/>
  <c r="F141" i="1"/>
  <c r="F165" i="1" s="1"/>
  <c r="N63" i="14"/>
  <c r="P64" i="14" s="1"/>
  <c r="N53" i="11"/>
  <c r="P54" i="11" s="1"/>
  <c r="N58" i="11"/>
  <c r="Q60" i="11" s="1"/>
  <c r="P54" i="16"/>
  <c r="F80" i="11"/>
  <c r="G80" i="11" s="1"/>
  <c r="N37" i="9"/>
  <c r="Q40" i="9" s="1"/>
  <c r="P14" i="9"/>
  <c r="Q55" i="16"/>
  <c r="D83" i="9"/>
  <c r="Q54" i="16"/>
  <c r="M67" i="16"/>
  <c r="D120" i="16"/>
  <c r="D160" i="16" s="1"/>
  <c r="D120" i="13"/>
  <c r="P64" i="10"/>
  <c r="N41" i="13"/>
  <c r="Q64" i="10"/>
  <c r="Q65" i="10"/>
  <c r="E103" i="11"/>
  <c r="E114" i="11" s="1"/>
  <c r="F59" i="16"/>
  <c r="G59" i="16" s="1"/>
  <c r="G59" i="1"/>
  <c r="F15" i="9"/>
  <c r="G15" i="9" s="1"/>
  <c r="Q64" i="16"/>
  <c r="Q66" i="16"/>
  <c r="P64" i="16"/>
  <c r="F65" i="16"/>
  <c r="G65" i="16" s="1"/>
  <c r="G65" i="1"/>
  <c r="N52" i="9"/>
  <c r="F103" i="9" s="1"/>
  <c r="F82" i="13"/>
  <c r="G56" i="10"/>
  <c r="Q19" i="1"/>
  <c r="D191" i="1"/>
  <c r="D194" i="1" s="1"/>
  <c r="E81" i="10"/>
  <c r="E81" i="9"/>
  <c r="E76" i="9"/>
  <c r="N53" i="10"/>
  <c r="P54" i="10" s="1"/>
  <c r="Q55" i="9"/>
  <c r="Q34" i="10"/>
  <c r="P54" i="9"/>
  <c r="Q54" i="9"/>
  <c r="A35" i="1"/>
  <c r="N62" i="10"/>
  <c r="F103" i="10" s="1"/>
  <c r="F64" i="10"/>
  <c r="G64" i="10" s="1"/>
  <c r="Q44" i="1"/>
  <c r="Q59" i="10"/>
  <c r="Q60" i="10"/>
  <c r="Q61" i="10"/>
  <c r="P59" i="10"/>
  <c r="G66" i="16"/>
  <c r="M11" i="9"/>
  <c r="E114" i="9"/>
  <c r="F54" i="13"/>
  <c r="G54" i="13" s="1"/>
  <c r="N52" i="13"/>
  <c r="F103" i="13" s="1"/>
  <c r="F114" i="13" s="1"/>
  <c r="M62" i="16"/>
  <c r="N62" i="1"/>
  <c r="F60" i="16"/>
  <c r="F66" i="9"/>
  <c r="G66" i="9" s="1"/>
  <c r="N63" i="9"/>
  <c r="Q65" i="9" s="1"/>
  <c r="F10" i="9"/>
  <c r="N11" i="9" s="1"/>
  <c r="N7" i="9"/>
  <c r="P54" i="1"/>
  <c r="A54" i="1" s="1"/>
  <c r="B156" i="16"/>
  <c r="N57" i="1"/>
  <c r="F55" i="16"/>
  <c r="M57" i="16"/>
  <c r="E113" i="16"/>
  <c r="E110" i="16"/>
  <c r="C194" i="1"/>
  <c r="N11" i="10"/>
  <c r="M29" i="10"/>
  <c r="Q88" i="1"/>
  <c r="F82" i="14"/>
  <c r="Q33" i="10"/>
  <c r="M41" i="13"/>
  <c r="G20" i="10"/>
  <c r="Q55" i="1"/>
  <c r="E81" i="11"/>
  <c r="Q56" i="1"/>
  <c r="Q46" i="1"/>
  <c r="Q20" i="1"/>
  <c r="G32" i="11"/>
  <c r="E121" i="1"/>
  <c r="E123" i="1" s="1"/>
  <c r="D83" i="13"/>
  <c r="D85" i="13" s="1"/>
  <c r="D118" i="13" s="1"/>
  <c r="Q26" i="1"/>
  <c r="N41" i="10"/>
  <c r="P24" i="1"/>
  <c r="A24" i="1" s="1"/>
  <c r="E103" i="13"/>
  <c r="Q25" i="1"/>
  <c r="Q65" i="13"/>
  <c r="N37" i="10"/>
  <c r="Q39" i="10" s="1"/>
  <c r="P64" i="1"/>
  <c r="A64" i="1" s="1"/>
  <c r="N25" i="14"/>
  <c r="P26" i="14" s="1"/>
  <c r="G21" i="10"/>
  <c r="E82" i="14"/>
  <c r="E81" i="13"/>
  <c r="M41" i="10"/>
  <c r="G45" i="13"/>
  <c r="G14" i="13"/>
  <c r="G65" i="13"/>
  <c r="G38" i="13"/>
  <c r="N31" i="11"/>
  <c r="Q34" i="11" s="1"/>
  <c r="D83" i="10"/>
  <c r="D85" i="10" s="1"/>
  <c r="D118" i="10" s="1"/>
  <c r="D116" i="10" s="1"/>
  <c r="G51" i="10"/>
  <c r="F82" i="10"/>
  <c r="M17" i="10"/>
  <c r="G72" i="10"/>
  <c r="G54" i="9"/>
  <c r="P44" i="1"/>
  <c r="A45" i="1" s="1"/>
  <c r="A34" i="1"/>
  <c r="F114" i="1"/>
  <c r="G114" i="1" s="1"/>
  <c r="G16" i="14"/>
  <c r="P19" i="1"/>
  <c r="Q65" i="1"/>
  <c r="N35" i="9"/>
  <c r="Q10" i="10"/>
  <c r="G38" i="10"/>
  <c r="Q66" i="1"/>
  <c r="G34" i="14"/>
  <c r="G28" i="14"/>
  <c r="G14" i="10"/>
  <c r="G28" i="13"/>
  <c r="N13" i="14"/>
  <c r="Q14" i="14" s="1"/>
  <c r="Q64" i="13"/>
  <c r="G22" i="10"/>
  <c r="G69" i="14"/>
  <c r="G33" i="11"/>
  <c r="Q61" i="1"/>
  <c r="G28" i="11"/>
  <c r="G51" i="13"/>
  <c r="G26" i="10"/>
  <c r="D83" i="11"/>
  <c r="D85" i="11" s="1"/>
  <c r="F80" i="10"/>
  <c r="N19" i="10"/>
  <c r="Q22" i="10" s="1"/>
  <c r="G39" i="10"/>
  <c r="G60" i="1"/>
  <c r="G8" i="13"/>
  <c r="P8" i="13"/>
  <c r="P64" i="13"/>
  <c r="G48" i="10"/>
  <c r="E82" i="10"/>
  <c r="G69" i="10"/>
  <c r="N25" i="10"/>
  <c r="F27" i="10"/>
  <c r="G69" i="11"/>
  <c r="Q14" i="1"/>
  <c r="Q59" i="1"/>
  <c r="A59" i="1" s="1"/>
  <c r="F16" i="10"/>
  <c r="G16" i="10" s="1"/>
  <c r="N13" i="10"/>
  <c r="Q15" i="10" s="1"/>
  <c r="N23" i="10"/>
  <c r="F60" i="13"/>
  <c r="G60" i="13" s="1"/>
  <c r="N58" i="13"/>
  <c r="Q61" i="13" s="1"/>
  <c r="P8" i="10"/>
  <c r="G16" i="11"/>
  <c r="N31" i="14"/>
  <c r="Q33" i="14" s="1"/>
  <c r="G34" i="13"/>
  <c r="A50" i="1"/>
  <c r="A49" i="1"/>
  <c r="A9" i="1"/>
  <c r="M11" i="10"/>
  <c r="G9" i="10"/>
  <c r="Q66" i="13"/>
  <c r="Q15" i="9"/>
  <c r="Q14" i="9"/>
  <c r="N17" i="14"/>
  <c r="N29" i="14"/>
  <c r="E79" i="10"/>
  <c r="Q16" i="9"/>
  <c r="A10" i="1"/>
  <c r="G45" i="10"/>
  <c r="E80" i="10"/>
  <c r="Q8" i="10"/>
  <c r="E76" i="14"/>
  <c r="F22" i="11"/>
  <c r="N19" i="11"/>
  <c r="Q20" i="11" s="1"/>
  <c r="G33" i="10"/>
  <c r="M35" i="10"/>
  <c r="Q99" i="1"/>
  <c r="E76" i="10"/>
  <c r="G75" i="14"/>
  <c r="N35" i="14"/>
  <c r="M23" i="10"/>
  <c r="Q9" i="10"/>
  <c r="P32" i="10"/>
  <c r="Q32" i="10"/>
  <c r="F15" i="13"/>
  <c r="G15" i="13" s="1"/>
  <c r="N13" i="13"/>
  <c r="Q14" i="13" s="1"/>
  <c r="N13" i="11"/>
  <c r="Q14" i="11" s="1"/>
  <c r="F15" i="11"/>
  <c r="G15" i="11" s="1"/>
  <c r="M17" i="11"/>
  <c r="G14" i="11"/>
  <c r="Q86" i="1"/>
  <c r="N11" i="14"/>
  <c r="G22" i="9"/>
  <c r="M29" i="11"/>
  <c r="Q100" i="1"/>
  <c r="E79" i="11"/>
  <c r="N89" i="1"/>
  <c r="F119" i="1"/>
  <c r="G119" i="1" s="1"/>
  <c r="G48" i="13"/>
  <c r="C118" i="11"/>
  <c r="N11" i="13"/>
  <c r="F54" i="14"/>
  <c r="F81" i="14" s="1"/>
  <c r="N52" i="14"/>
  <c r="F103" i="14" s="1"/>
  <c r="Q16" i="1"/>
  <c r="E82" i="13"/>
  <c r="G69" i="13"/>
  <c r="P78" i="1"/>
  <c r="Q78" i="1"/>
  <c r="N7" i="14"/>
  <c r="Q10" i="14" s="1"/>
  <c r="G40" i="10"/>
  <c r="G16" i="13"/>
  <c r="Q56" i="14"/>
  <c r="G22" i="13"/>
  <c r="Q60" i="1"/>
  <c r="M35" i="14"/>
  <c r="Q9" i="13"/>
  <c r="N23" i="14"/>
  <c r="F80" i="13"/>
  <c r="P74" i="1"/>
  <c r="Q74" i="1"/>
  <c r="E79" i="14"/>
  <c r="G48" i="11"/>
  <c r="E114" i="14"/>
  <c r="E120" i="14"/>
  <c r="N25" i="11"/>
  <c r="Q27" i="11" s="1"/>
  <c r="F27" i="11"/>
  <c r="N29" i="11" s="1"/>
  <c r="N71" i="1"/>
  <c r="G118" i="1"/>
  <c r="G70" i="1"/>
  <c r="F79" i="14"/>
  <c r="M35" i="13"/>
  <c r="Q98" i="1"/>
  <c r="A98" i="1" s="1"/>
  <c r="G55" i="1"/>
  <c r="Q70" i="1"/>
  <c r="A70" i="1" s="1"/>
  <c r="E76" i="13"/>
  <c r="E79" i="13"/>
  <c r="M11" i="13"/>
  <c r="A59" i="9"/>
  <c r="A60" i="9"/>
  <c r="E81" i="14"/>
  <c r="P14" i="1"/>
  <c r="A15" i="1" s="1"/>
  <c r="N19" i="13"/>
  <c r="P20" i="13" s="1"/>
  <c r="G32" i="14"/>
  <c r="N11" i="11"/>
  <c r="M29" i="13"/>
  <c r="Q55" i="14"/>
  <c r="A55" i="14" s="1"/>
  <c r="N35" i="11"/>
  <c r="G20" i="1"/>
  <c r="G10" i="14"/>
  <c r="Q8" i="13"/>
  <c r="E80" i="13"/>
  <c r="M11" i="14"/>
  <c r="M17" i="13"/>
  <c r="G9" i="14"/>
  <c r="D123" i="1"/>
  <c r="Q54" i="14"/>
  <c r="A54" i="14" s="1"/>
  <c r="G74" i="1"/>
  <c r="C85" i="13"/>
  <c r="C85" i="14"/>
  <c r="F64" i="11"/>
  <c r="G64" i="11" s="1"/>
  <c r="N62" i="11"/>
  <c r="F103" i="11" s="1"/>
  <c r="G78" i="1"/>
  <c r="F65" i="11"/>
  <c r="G65" i="11" s="1"/>
  <c r="N63" i="11"/>
  <c r="Q66" i="11" s="1"/>
  <c r="Q9" i="11"/>
  <c r="Q10" i="11"/>
  <c r="Q8" i="11"/>
  <c r="P8" i="11"/>
  <c r="E76" i="11"/>
  <c r="N41" i="14"/>
  <c r="N101" i="1"/>
  <c r="F33" i="13"/>
  <c r="N35" i="13" s="1"/>
  <c r="N31" i="13"/>
  <c r="Q32" i="13" s="1"/>
  <c r="N41" i="9"/>
  <c r="G39" i="9"/>
  <c r="N23" i="13"/>
  <c r="P29" i="1"/>
  <c r="Q30" i="1"/>
  <c r="Q29" i="1"/>
  <c r="Q31" i="1"/>
  <c r="P86" i="1"/>
  <c r="E165" i="1"/>
  <c r="G87" i="1"/>
  <c r="M35" i="11"/>
  <c r="D83" i="14"/>
  <c r="D85" i="14" s="1"/>
  <c r="G66" i="1"/>
  <c r="N67" i="1"/>
  <c r="N25" i="13"/>
  <c r="Q27" i="13" s="1"/>
  <c r="F27" i="13"/>
  <c r="N29" i="13" s="1"/>
  <c r="Q21" i="9" l="1"/>
  <c r="B183" i="1"/>
  <c r="B182" i="1"/>
  <c r="G182" i="1" s="1"/>
  <c r="J183" i="1"/>
  <c r="B175" i="1"/>
  <c r="J182" i="1"/>
  <c r="A99" i="1"/>
  <c r="Q34" i="9"/>
  <c r="D158" i="16"/>
  <c r="D156" i="16" s="1"/>
  <c r="D164" i="16"/>
  <c r="P32" i="9"/>
  <c r="A33" i="9" s="1"/>
  <c r="Q32" i="9"/>
  <c r="A32" i="9" s="1"/>
  <c r="P54" i="13"/>
  <c r="A54" i="13" s="1"/>
  <c r="P38" i="14"/>
  <c r="Q39" i="14"/>
  <c r="P20" i="9"/>
  <c r="A20" i="9" s="1"/>
  <c r="Q22" i="9"/>
  <c r="Q56" i="13"/>
  <c r="Q55" i="13"/>
  <c r="Q38" i="11"/>
  <c r="P38" i="11"/>
  <c r="Q40" i="11"/>
  <c r="P59" i="16"/>
  <c r="Q38" i="14"/>
  <c r="Q60" i="16"/>
  <c r="Q59" i="16"/>
  <c r="G39" i="11"/>
  <c r="Q21" i="14"/>
  <c r="Q22" i="14"/>
  <c r="P20" i="14"/>
  <c r="A20" i="14" s="1"/>
  <c r="E120" i="10"/>
  <c r="G80" i="14"/>
  <c r="D118" i="14"/>
  <c r="D116" i="14" s="1"/>
  <c r="P59" i="11"/>
  <c r="A60" i="11" s="1"/>
  <c r="D85" i="9"/>
  <c r="D118" i="9" s="1"/>
  <c r="D116" i="9" s="1"/>
  <c r="A59" i="14"/>
  <c r="P26" i="9"/>
  <c r="A27" i="9" s="1"/>
  <c r="Q28" i="9"/>
  <c r="Q26" i="9"/>
  <c r="A60" i="14"/>
  <c r="Q61" i="11"/>
  <c r="C146" i="1"/>
  <c r="Q40" i="13"/>
  <c r="Q59" i="11"/>
  <c r="P38" i="13"/>
  <c r="A38" i="13" s="1"/>
  <c r="E83" i="9"/>
  <c r="Q39" i="13"/>
  <c r="C123" i="10"/>
  <c r="C126" i="10" s="1"/>
  <c r="Q54" i="11"/>
  <c r="A54" i="11" s="1"/>
  <c r="Q55" i="11"/>
  <c r="A55" i="11" s="1"/>
  <c r="Q56" i="11"/>
  <c r="D118" i="11"/>
  <c r="D148" i="1" s="1"/>
  <c r="A64" i="10"/>
  <c r="Q65" i="14"/>
  <c r="A65" i="14" s="1"/>
  <c r="G165" i="1"/>
  <c r="F81" i="10"/>
  <c r="G81" i="10" s="1"/>
  <c r="G141" i="1"/>
  <c r="Q39" i="9"/>
  <c r="Q64" i="14"/>
  <c r="A64" i="14" s="1"/>
  <c r="P38" i="9"/>
  <c r="Q66" i="14"/>
  <c r="E120" i="11"/>
  <c r="Q38" i="9"/>
  <c r="A65" i="10"/>
  <c r="A14" i="9"/>
  <c r="A54" i="16"/>
  <c r="A55" i="16"/>
  <c r="C123" i="9"/>
  <c r="C126" i="9" s="1"/>
  <c r="C127" i="9" s="1"/>
  <c r="C144" i="1"/>
  <c r="A15" i="9"/>
  <c r="A60" i="1"/>
  <c r="N62" i="16"/>
  <c r="F114" i="9"/>
  <c r="G114" i="9" s="1"/>
  <c r="G103" i="9"/>
  <c r="F120" i="9"/>
  <c r="G120" i="9" s="1"/>
  <c r="N67" i="16"/>
  <c r="Q28" i="14"/>
  <c r="N17" i="9"/>
  <c r="A65" i="16"/>
  <c r="A64" i="16"/>
  <c r="G82" i="13"/>
  <c r="Q54" i="10"/>
  <c r="A54" i="10" s="1"/>
  <c r="F79" i="9"/>
  <c r="G79" i="9" s="1"/>
  <c r="G82" i="14"/>
  <c r="Q26" i="14"/>
  <c r="A26" i="14" s="1"/>
  <c r="A19" i="1"/>
  <c r="Q55" i="10"/>
  <c r="A55" i="10" s="1"/>
  <c r="Q56" i="10"/>
  <c r="F120" i="10"/>
  <c r="F114" i="10"/>
  <c r="G114" i="10" s="1"/>
  <c r="G103" i="10"/>
  <c r="A54" i="9"/>
  <c r="A55" i="9"/>
  <c r="D123" i="10"/>
  <c r="D126" i="10" s="1"/>
  <c r="D127" i="10" s="1"/>
  <c r="D147" i="1" s="1"/>
  <c r="G10" i="9"/>
  <c r="Q64" i="9"/>
  <c r="F81" i="9"/>
  <c r="G81" i="9" s="1"/>
  <c r="F76" i="9"/>
  <c r="G76" i="9" s="1"/>
  <c r="N17" i="11"/>
  <c r="G60" i="16"/>
  <c r="Q32" i="11"/>
  <c r="A59" i="10"/>
  <c r="A60" i="10"/>
  <c r="Q8" i="9"/>
  <c r="P8" i="9"/>
  <c r="Q10" i="9"/>
  <c r="Q9" i="9"/>
  <c r="P64" i="9"/>
  <c r="Q66" i="9"/>
  <c r="A55" i="1"/>
  <c r="G55" i="16"/>
  <c r="F113" i="16"/>
  <c r="F118" i="16" s="1"/>
  <c r="F192" i="1" s="1"/>
  <c r="N57" i="16"/>
  <c r="F110" i="16"/>
  <c r="G110" i="16" s="1"/>
  <c r="E118" i="16"/>
  <c r="E191" i="1"/>
  <c r="A8" i="13"/>
  <c r="A25" i="1"/>
  <c r="A20" i="1"/>
  <c r="F79" i="10"/>
  <c r="G54" i="14"/>
  <c r="F81" i="13"/>
  <c r="G81" i="13" s="1"/>
  <c r="A9" i="13"/>
  <c r="Q38" i="10"/>
  <c r="F121" i="1"/>
  <c r="F123" i="1" s="1"/>
  <c r="G123" i="1" s="1"/>
  <c r="Q40" i="10"/>
  <c r="G81" i="14"/>
  <c r="P38" i="10"/>
  <c r="A39" i="10" s="1"/>
  <c r="A65" i="13"/>
  <c r="P32" i="11"/>
  <c r="Q15" i="13"/>
  <c r="P14" i="14"/>
  <c r="A14" i="14" s="1"/>
  <c r="A44" i="1"/>
  <c r="G103" i="13"/>
  <c r="E114" i="13"/>
  <c r="G114" i="13" s="1"/>
  <c r="E120" i="13"/>
  <c r="F83" i="14"/>
  <c r="F120" i="13"/>
  <c r="Q20" i="10"/>
  <c r="G82" i="10"/>
  <c r="A65" i="1"/>
  <c r="F76" i="10"/>
  <c r="G76" i="10" s="1"/>
  <c r="Q27" i="14"/>
  <c r="A27" i="14" s="1"/>
  <c r="Q33" i="11"/>
  <c r="Q16" i="13"/>
  <c r="Q16" i="14"/>
  <c r="D146" i="1"/>
  <c r="F79" i="11"/>
  <c r="G79" i="11" s="1"/>
  <c r="G80" i="10"/>
  <c r="Q15" i="14"/>
  <c r="Q34" i="14"/>
  <c r="Q32" i="14"/>
  <c r="A64" i="13"/>
  <c r="N17" i="13"/>
  <c r="G80" i="13"/>
  <c r="P26" i="11"/>
  <c r="Q28" i="11"/>
  <c r="P32" i="14"/>
  <c r="A33" i="14" s="1"/>
  <c r="Q26" i="11"/>
  <c r="P8" i="14"/>
  <c r="Q21" i="13"/>
  <c r="A21" i="13" s="1"/>
  <c r="Q64" i="11"/>
  <c r="P20" i="11"/>
  <c r="A20" i="11" s="1"/>
  <c r="E83" i="10"/>
  <c r="E85" i="10" s="1"/>
  <c r="E118" i="10" s="1"/>
  <c r="Q60" i="13"/>
  <c r="P59" i="13"/>
  <c r="Q26" i="10"/>
  <c r="P26" i="10"/>
  <c r="Q27" i="10"/>
  <c r="Q28" i="10"/>
  <c r="Q21" i="11"/>
  <c r="Q14" i="10"/>
  <c r="Q16" i="10"/>
  <c r="P14" i="10"/>
  <c r="Q59" i="13"/>
  <c r="P20" i="10"/>
  <c r="A78" i="1"/>
  <c r="Q21" i="10"/>
  <c r="N17" i="10"/>
  <c r="P64" i="11"/>
  <c r="N29" i="10"/>
  <c r="G27" i="10"/>
  <c r="A32" i="10"/>
  <c r="A33" i="10"/>
  <c r="Q16" i="11"/>
  <c r="P14" i="13"/>
  <c r="A14" i="13" s="1"/>
  <c r="Q28" i="13"/>
  <c r="Q22" i="11"/>
  <c r="A8" i="10"/>
  <c r="A9" i="10"/>
  <c r="A74" i="1"/>
  <c r="Q20" i="13"/>
  <c r="A20" i="13" s="1"/>
  <c r="F76" i="14"/>
  <c r="G76" i="14" s="1"/>
  <c r="G22" i="11"/>
  <c r="N23" i="11"/>
  <c r="F120" i="11"/>
  <c r="F114" i="11"/>
  <c r="G114" i="11" s="1"/>
  <c r="G103" i="11"/>
  <c r="C148" i="1"/>
  <c r="C116" i="11"/>
  <c r="C123" i="11"/>
  <c r="P14" i="11"/>
  <c r="C118" i="13"/>
  <c r="Q22" i="13"/>
  <c r="F81" i="11"/>
  <c r="G81" i="11" s="1"/>
  <c r="Q65" i="11"/>
  <c r="Q8" i="14"/>
  <c r="P26" i="13"/>
  <c r="E83" i="14"/>
  <c r="E85" i="14" s="1"/>
  <c r="E118" i="14" s="1"/>
  <c r="G79" i="14"/>
  <c r="G27" i="11"/>
  <c r="Q33" i="13"/>
  <c r="F120" i="14"/>
  <c r="G120" i="14" s="1"/>
  <c r="F114" i="14"/>
  <c r="G114" i="14" s="1"/>
  <c r="Q15" i="11"/>
  <c r="G27" i="13"/>
  <c r="F79" i="13"/>
  <c r="D123" i="13"/>
  <c r="D126" i="13" s="1"/>
  <c r="D127" i="13" s="1"/>
  <c r="D151" i="1" s="1"/>
  <c r="D150" i="1"/>
  <c r="D116" i="13"/>
  <c r="F76" i="11"/>
  <c r="G76" i="11" s="1"/>
  <c r="A87" i="1"/>
  <c r="A86" i="1"/>
  <c r="A29" i="1"/>
  <c r="A30" i="1"/>
  <c r="Q9" i="14"/>
  <c r="A14" i="1"/>
  <c r="Q26" i="13"/>
  <c r="Q34" i="13"/>
  <c r="F76" i="13"/>
  <c r="G76" i="13" s="1"/>
  <c r="G103" i="14"/>
  <c r="G33" i="13"/>
  <c r="A9" i="11"/>
  <c r="A8" i="11"/>
  <c r="C118" i="14"/>
  <c r="G117" i="1"/>
  <c r="E83" i="13"/>
  <c r="E85" i="13" s="1"/>
  <c r="P32" i="13"/>
  <c r="E83" i="11"/>
  <c r="A39" i="14" l="1"/>
  <c r="B186" i="1"/>
  <c r="B188" i="1" s="1"/>
  <c r="A21" i="9"/>
  <c r="A55" i="13"/>
  <c r="A38" i="14"/>
  <c r="A38" i="11"/>
  <c r="A39" i="11"/>
  <c r="A21" i="14"/>
  <c r="A59" i="16"/>
  <c r="A60" i="16"/>
  <c r="D123" i="14"/>
  <c r="D126" i="14" s="1"/>
  <c r="D127" i="14" s="1"/>
  <c r="D153" i="1" s="1"/>
  <c r="D152" i="1"/>
  <c r="G120" i="10"/>
  <c r="A59" i="11"/>
  <c r="D144" i="1"/>
  <c r="D123" i="9"/>
  <c r="D126" i="9" s="1"/>
  <c r="D127" i="9" s="1"/>
  <c r="D145" i="1" s="1"/>
  <c r="E85" i="9"/>
  <c r="E118" i="9" s="1"/>
  <c r="E116" i="9" s="1"/>
  <c r="G122" i="9"/>
  <c r="A39" i="13"/>
  <c r="A26" i="9"/>
  <c r="D116" i="11"/>
  <c r="F83" i="10"/>
  <c r="F85" i="10" s="1"/>
  <c r="A39" i="9"/>
  <c r="D123" i="11"/>
  <c r="D126" i="11" s="1"/>
  <c r="D127" i="11" s="1"/>
  <c r="D149" i="1" s="1"/>
  <c r="L149" i="1" s="1"/>
  <c r="G120" i="11"/>
  <c r="A38" i="9"/>
  <c r="L147" i="1"/>
  <c r="D129" i="10"/>
  <c r="A32" i="11"/>
  <c r="F83" i="9"/>
  <c r="F85" i="9" s="1"/>
  <c r="A9" i="9"/>
  <c r="A8" i="9"/>
  <c r="G79" i="10"/>
  <c r="G113" i="16"/>
  <c r="A65" i="9"/>
  <c r="A64" i="9"/>
  <c r="E192" i="1"/>
  <c r="G118" i="16"/>
  <c r="E120" i="16"/>
  <c r="F191" i="1"/>
  <c r="F194" i="1" s="1"/>
  <c r="F120" i="16"/>
  <c r="F160" i="16" s="1"/>
  <c r="F164" i="16" s="1"/>
  <c r="F83" i="13"/>
  <c r="F85" i="13" s="1"/>
  <c r="F118" i="13" s="1"/>
  <c r="F123" i="13" s="1"/>
  <c r="F126" i="13" s="1"/>
  <c r="F127" i="13" s="1"/>
  <c r="F151" i="1" s="1"/>
  <c r="A64" i="11"/>
  <c r="A38" i="10"/>
  <c r="A32" i="14"/>
  <c r="A9" i="14"/>
  <c r="A15" i="14"/>
  <c r="A20" i="10"/>
  <c r="G120" i="13"/>
  <c r="A26" i="11"/>
  <c r="A33" i="11"/>
  <c r="E118" i="13"/>
  <c r="E150" i="1" s="1"/>
  <c r="A27" i="11"/>
  <c r="A8" i="14"/>
  <c r="A65" i="11"/>
  <c r="A15" i="13"/>
  <c r="G79" i="13"/>
  <c r="A21" i="11"/>
  <c r="G121" i="1"/>
  <c r="F85" i="14"/>
  <c r="F118" i="14" s="1"/>
  <c r="G118" i="14" s="1"/>
  <c r="A60" i="13"/>
  <c r="A59" i="13"/>
  <c r="A21" i="10"/>
  <c r="A27" i="10"/>
  <c r="A26" i="10"/>
  <c r="A15" i="10"/>
  <c r="A14" i="10"/>
  <c r="D129" i="13"/>
  <c r="E146" i="1"/>
  <c r="E116" i="10"/>
  <c r="E123" i="10"/>
  <c r="E126" i="10" s="1"/>
  <c r="E127" i="10" s="1"/>
  <c r="E147" i="1" s="1"/>
  <c r="A32" i="13"/>
  <c r="A33" i="13"/>
  <c r="A27" i="13"/>
  <c r="A26" i="13"/>
  <c r="C126" i="11"/>
  <c r="F83" i="11"/>
  <c r="G83" i="11" s="1"/>
  <c r="E152" i="1"/>
  <c r="E123" i="14"/>
  <c r="E126" i="14" s="1"/>
  <c r="E127" i="14" s="1"/>
  <c r="E153" i="1" s="1"/>
  <c r="E116" i="14"/>
  <c r="A15" i="11"/>
  <c r="A14" i="11"/>
  <c r="C123" i="14"/>
  <c r="C116" i="14"/>
  <c r="C152" i="1"/>
  <c r="E85" i="11"/>
  <c r="G83" i="14"/>
  <c r="C116" i="13"/>
  <c r="C150" i="1"/>
  <c r="C123" i="13"/>
  <c r="L151" i="1"/>
  <c r="C127" i="10"/>
  <c r="C145" i="1"/>
  <c r="C129" i="9"/>
  <c r="D129" i="14" l="1"/>
  <c r="L153" i="1"/>
  <c r="L145" i="1"/>
  <c r="D129" i="9"/>
  <c r="E123" i="9"/>
  <c r="E126" i="9" s="1"/>
  <c r="E144" i="1"/>
  <c r="G83" i="10"/>
  <c r="D129" i="11"/>
  <c r="G83" i="9"/>
  <c r="G83" i="13"/>
  <c r="G191" i="1"/>
  <c r="F158" i="16"/>
  <c r="F156" i="16" s="1"/>
  <c r="E160" i="16"/>
  <c r="E164" i="16" s="1"/>
  <c r="G120" i="16"/>
  <c r="E194" i="1"/>
  <c r="G194" i="1" s="1"/>
  <c r="G192" i="1"/>
  <c r="E123" i="13"/>
  <c r="E126" i="13" s="1"/>
  <c r="E127" i="13" s="1"/>
  <c r="E151" i="1" s="1"/>
  <c r="M151" i="1" s="1"/>
  <c r="E116" i="13"/>
  <c r="G85" i="13"/>
  <c r="G85" i="14"/>
  <c r="G118" i="13"/>
  <c r="F116" i="13"/>
  <c r="E129" i="10"/>
  <c r="F150" i="1"/>
  <c r="N151" i="1" s="1"/>
  <c r="M147" i="1"/>
  <c r="D154" i="1"/>
  <c r="D156" i="1" s="1"/>
  <c r="D163" i="1" s="1"/>
  <c r="D161" i="1" s="1"/>
  <c r="D159" i="1" s="1"/>
  <c r="M153" i="1"/>
  <c r="F85" i="11"/>
  <c r="F118" i="11" s="1"/>
  <c r="C126" i="13"/>
  <c r="E118" i="11"/>
  <c r="C126" i="14"/>
  <c r="E129" i="14"/>
  <c r="C127" i="11"/>
  <c r="F118" i="9"/>
  <c r="G85" i="9"/>
  <c r="F116" i="14"/>
  <c r="G116" i="14" s="1"/>
  <c r="F152" i="1"/>
  <c r="G152" i="1" s="1"/>
  <c r="F123" i="14"/>
  <c r="F126" i="14" s="1"/>
  <c r="F127" i="14" s="1"/>
  <c r="F153" i="1" s="1"/>
  <c r="F118" i="10"/>
  <c r="G85" i="10"/>
  <c r="F129" i="13"/>
  <c r="K145" i="1"/>
  <c r="C147" i="1"/>
  <c r="C129" i="10"/>
  <c r="G116" i="13" l="1"/>
  <c r="E129" i="13"/>
  <c r="G123" i="13"/>
  <c r="E158" i="16"/>
  <c r="G164" i="16"/>
  <c r="G160" i="16"/>
  <c r="G150" i="1"/>
  <c r="G85" i="11"/>
  <c r="F129" i="14"/>
  <c r="G123" i="14"/>
  <c r="C149" i="1"/>
  <c r="C129" i="11"/>
  <c r="E123" i="11"/>
  <c r="E148" i="1"/>
  <c r="E116" i="11"/>
  <c r="G118" i="11"/>
  <c r="C127" i="13"/>
  <c r="G126" i="13"/>
  <c r="E127" i="9"/>
  <c r="F148" i="1"/>
  <c r="F116" i="11"/>
  <c r="F123" i="11"/>
  <c r="F126" i="11" s="1"/>
  <c r="F127" i="11" s="1"/>
  <c r="F149" i="1" s="1"/>
  <c r="F123" i="10"/>
  <c r="F146" i="1"/>
  <c r="F116" i="10"/>
  <c r="G116" i="10" s="1"/>
  <c r="G118" i="10"/>
  <c r="N153" i="1"/>
  <c r="F123" i="9"/>
  <c r="F144" i="1"/>
  <c r="F116" i="9"/>
  <c r="G116" i="9" s="1"/>
  <c r="G118" i="9"/>
  <c r="G126" i="14"/>
  <c r="C127" i="14"/>
  <c r="C167" i="1"/>
  <c r="D167" i="1" s="1"/>
  <c r="K147" i="1"/>
  <c r="E156" i="16" l="1"/>
  <c r="G156" i="16" s="1"/>
  <c r="G158" i="16"/>
  <c r="E126" i="11"/>
  <c r="G123" i="11"/>
  <c r="C129" i="14"/>
  <c r="G129" i="14" s="1"/>
  <c r="G127" i="14"/>
  <c r="C153" i="1"/>
  <c r="F126" i="10"/>
  <c r="G123" i="10"/>
  <c r="N149" i="1"/>
  <c r="G144" i="1"/>
  <c r="F129" i="11"/>
  <c r="G116" i="11"/>
  <c r="F126" i="9"/>
  <c r="G123" i="9"/>
  <c r="G146" i="1"/>
  <c r="E145" i="1"/>
  <c r="E129" i="9"/>
  <c r="C151" i="1"/>
  <c r="C129" i="13"/>
  <c r="G129" i="13" s="1"/>
  <c r="G127" i="13"/>
  <c r="G148" i="1"/>
  <c r="K149" i="1"/>
  <c r="D168" i="1"/>
  <c r="C168" i="1"/>
  <c r="E168" i="1"/>
  <c r="D169" i="1" l="1"/>
  <c r="C169" i="1"/>
  <c r="M145" i="1"/>
  <c r="F127" i="9"/>
  <c r="G126" i="9"/>
  <c r="C154" i="1"/>
  <c r="G151" i="1"/>
  <c r="K151" i="1"/>
  <c r="F127" i="10"/>
  <c r="G126" i="10"/>
  <c r="G153" i="1"/>
  <c r="K153" i="1"/>
  <c r="E127" i="11"/>
  <c r="G126" i="11"/>
  <c r="O153" i="1" l="1"/>
  <c r="E171" i="1"/>
  <c r="D171" i="1"/>
  <c r="C171" i="1"/>
  <c r="F171" i="1"/>
  <c r="O151" i="1"/>
  <c r="D170" i="1"/>
  <c r="C170" i="1"/>
  <c r="F170" i="1"/>
  <c r="E170" i="1"/>
  <c r="F145" i="1"/>
  <c r="F129" i="9"/>
  <c r="G129" i="9" s="1"/>
  <c r="G127" i="9"/>
  <c r="E149" i="1"/>
  <c r="G127" i="11"/>
  <c r="E129" i="11"/>
  <c r="G129" i="11" s="1"/>
  <c r="C156" i="1"/>
  <c r="F147" i="1"/>
  <c r="G127" i="10"/>
  <c r="F129" i="10"/>
  <c r="G129" i="10" s="1"/>
  <c r="E167" i="1"/>
  <c r="D172" i="1" l="1"/>
  <c r="G171" i="1"/>
  <c r="G170" i="1"/>
  <c r="G149" i="1"/>
  <c r="M149" i="1"/>
  <c r="E154" i="1"/>
  <c r="N145" i="1"/>
  <c r="F154" i="1"/>
  <c r="F156" i="1" s="1"/>
  <c r="F163" i="1" s="1"/>
  <c r="F161" i="1" s="1"/>
  <c r="F159" i="1" s="1"/>
  <c r="G145" i="1"/>
  <c r="C163" i="1"/>
  <c r="G147" i="1"/>
  <c r="N147" i="1"/>
  <c r="D184" i="1" l="1"/>
  <c r="D178" i="1"/>
  <c r="D175" i="1"/>
  <c r="L184" i="1"/>
  <c r="O145" i="1"/>
  <c r="F167" i="1"/>
  <c r="G167" i="1" s="1"/>
  <c r="O147" i="1"/>
  <c r="F168" i="1"/>
  <c r="C161" i="1"/>
  <c r="C172" i="1"/>
  <c r="C178" i="1" s="1"/>
  <c r="E156" i="1"/>
  <c r="G154" i="1"/>
  <c r="F169" i="1"/>
  <c r="O149" i="1"/>
  <c r="E169" i="1"/>
  <c r="C184" i="1" l="1"/>
  <c r="C183" i="1"/>
  <c r="G183" i="1" s="1"/>
  <c r="C175" i="1"/>
  <c r="K184" i="1"/>
  <c r="K183" i="1"/>
  <c r="D186" i="1"/>
  <c r="D188" i="1" s="1"/>
  <c r="G169" i="1"/>
  <c r="E163" i="1"/>
  <c r="G156" i="1"/>
  <c r="F172" i="1"/>
  <c r="G168" i="1"/>
  <c r="C159" i="1"/>
  <c r="F184" i="1" l="1"/>
  <c r="F178" i="1"/>
  <c r="F175" i="1"/>
  <c r="N184" i="1"/>
  <c r="C186" i="1"/>
  <c r="E161" i="1"/>
  <c r="E172" i="1"/>
  <c r="G163" i="1"/>
  <c r="E184" i="1" l="1"/>
  <c r="G184" i="1" s="1"/>
  <c r="E178" i="1"/>
  <c r="G178" i="1" s="1"/>
  <c r="E175" i="1"/>
  <c r="M184" i="1"/>
  <c r="F186" i="1"/>
  <c r="F188" i="1" s="1"/>
  <c r="E159" i="1"/>
  <c r="G159" i="1" s="1"/>
  <c r="G161" i="1"/>
  <c r="C188" i="1"/>
  <c r="G172" i="1"/>
  <c r="E186" i="1" l="1"/>
  <c r="G175" i="1"/>
  <c r="E188" i="1" l="1"/>
  <c r="G188" i="1" s="1"/>
  <c r="G1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tc={9E13E7F4-02E5-4BCB-A22B-E82EED017DFF}</author>
    <author>tc={72C01C76-DCA6-4D2F-938B-5EB7D0D85CD4}</author>
    <author>tc={70F05435-9501-480A-BFC8-58F212B8CFDD}</author>
    <author>tc={338945F4-E12B-478C-AF07-028B93D2D798}</author>
    <author>tc={ED793875-772C-40FE-A1D7-EA5522DBF07C}</author>
    <author>tc={543A534F-5A1E-4CA9-BB2C-627C9B28C07A}</author>
    <author>tc={AA0266EE-9227-4866-A32D-314412587992}</author>
    <author>tc={5502FF92-3E82-4A5C-A1A2-5A7FB8B4A6BF}</author>
    <author>tc={2D605669-595E-44AD-B03C-4D3DBAB7F942}</author>
    <author>tc={2DECF2D9-463B-46BE-849A-F5156E4DF9D5}</author>
    <author>tc={500F7C2F-988F-4460-9DC9-1440371E9D8D}</author>
    <author>tc={361FA9E8-9ACE-47B5-B90A-D9FD978945BB}</author>
    <author>tc={28386CB6-5E84-4EE2-8F55-7C14BB089067}</author>
    <author>tc={A80287E3-1726-4C4C-B904-4183F9DDDF5B}</author>
    <author>tc={79726345-6C9A-4656-98FE-74F471E268CF}</author>
    <author>tc={E12E9199-62D7-4678-9E88-652000A78F53}</author>
  </authors>
  <commentList>
    <comment ref="U1" authorId="0" shapeId="0" xr:uid="{9E13E7F4-02E5-4BCB-A22B-E82EED017DFF}">
      <text>
        <t>[Threaded comment]
Your version of Excel allows you to read this threaded comment; however, any edits to it will get removed if the file is opened in a newer version of Excel. Learn more: https://go.microsoft.com/fwlink/?linkid=870924
Comment:
    NIH (DHHS): https://grants.nih.gov/grants/guide/notice-files/NOT-OD-24-057.html
PCORI: https://www.pcori.org/funding-opportunities/applicant-and-awardee-resources/frequently-asked-questions/budgeting-faqs</t>
      </text>
    </comment>
    <comment ref="AI2" authorId="1" shapeId="0" xr:uid="{72C01C76-DCA6-4D2F-938B-5EB7D0D85CD4}">
      <text>
        <t>[Threaded comment]
Your version of Excel allows you to read this threaded comment; however, any edits to it will get removed if the file is opened in a newer version of Excel. Learn more: https://go.microsoft.com/fwlink/?linkid=870924
Comment:
    Use for 7+ years of experience</t>
      </text>
    </comment>
    <comment ref="J4" authorId="2" shapeId="0" xr:uid="{70F05435-9501-480A-BFC8-58F212B8CFDD}">
      <text>
        <t>[Threaded comment]
Your version of Excel allows you to read this threaded comment; however, any edits to it will get removed if the file is opened in a newer version of Excel. Learn more: https://go.microsoft.com/fwlink/?linkid=870924
Comment:
    On-campus research F&amp;A cost calculation only works for:
   * Start dates of 7/1/2024 or later
   * 12-month budget periods</t>
      </text>
    </comment>
    <comment ref="U4" authorId="3" shapeId="0" xr:uid="{338945F4-E12B-478C-AF07-028B93D2D798}">
      <text>
        <t>[Threaded comment]
Your version of Excel allows you to read this threaded comment; however, any edits to it will get removed if the file is opened in a newer version of Excel. Learn more: https://go.microsoft.com/fwlink/?linkid=870924
Comment:
    In accordance with the Tucson Minimum Wage Act, the minimum wage will be $15/hour effective January 1, 2025.
https://hr.arizona.edu/news/2023/university-increasing-its-minimum-wage-fy-2024</t>
      </text>
    </comment>
    <comment ref="B88" authorId="4" shapeId="0" xr:uid="{ED793875-772C-40FE-A1D7-EA5522DBF07C}">
      <text>
        <t>[Threaded comment]
Your version of Excel allows you to read this threaded comment; however, any edits to it will get removed if the file is opened in a newer version of Excel. Learn more: https://go.microsoft.com/fwlink/?linkid=870924
Comment:
    Assumes 420 hours is equivalent to 2.76 summer months [(420/456) * 3]</t>
      </text>
    </comment>
    <comment ref="J88" authorId="5" shapeId="0" xr:uid="{543A534F-5A1E-4CA9-BB2C-627C9B28C07A}">
      <text>
        <t>[Threaded comment]
Your version of Excel allows you to read this threaded comment; however, any edits to it will get removed if the file is opened in a newer version of Excel. Learn more: https://go.microsoft.com/fwlink/?linkid=870924
Comment:
    Enter 2.76 [(420/456 * 3] for 420 hours</t>
      </text>
    </comment>
    <comment ref="O88" authorId="6" shapeId="0" xr:uid="{AA0266EE-9227-4866-A32D-314412587992}">
      <text>
        <t>[Threaded comment]
Your version of Excel allows you to read this threaded comment; however, any edits to it will get removed if the file is opened in a newer version of Excel. Learn more: https://go.microsoft.com/fwlink/?linkid=870924
Comment:
    Assumes a maximum of 420 (35 hours/week * 12 weeks) summer hours for a GRA</t>
      </text>
    </comment>
    <comment ref="B94" authorId="7" shapeId="0" xr:uid="{5502FF92-3E82-4A5C-A1A2-5A7FB8B4A6BF}">
      <text>
        <t>[Threaded comment]
Your version of Excel allows you to read this threaded comment; however, any edits to it will get removed if the file is opened in a newer version of Excel. Learn more: https://go.microsoft.com/fwlink/?linkid=870924
Comment:
    Assumes 420 hours is equivalent to 2.76 summer months [(420/456) * 3]</t>
      </text>
    </comment>
    <comment ref="J94" authorId="8" shapeId="0" xr:uid="{2D605669-595E-44AD-B03C-4D3DBAB7F942}">
      <text>
        <t>[Threaded comment]
Your version of Excel allows you to read this threaded comment; however, any edits to it will get removed if the file is opened in a newer version of Excel. Learn more: https://go.microsoft.com/fwlink/?linkid=870924
Comment:
    Enter 2.76 [(420/456 * 3] for 420 hours</t>
      </text>
    </comment>
    <comment ref="O94" authorId="9" shapeId="0" xr:uid="{2DECF2D9-463B-46BE-849A-F5156E4DF9D5}">
      <text>
        <t>[Threaded comment]
Your version of Excel allows you to read this threaded comment; however, any edits to it will get removed if the file is opened in a newer version of Excel. Learn more: https://go.microsoft.com/fwlink/?linkid=870924
Comment:
    Assumes a maximum of 420 (35 hours/week * 12 weeks) summer hours for a GRA</t>
      </text>
    </comment>
    <comment ref="B100" authorId="10" shapeId="0" xr:uid="{500F7C2F-988F-4460-9DC9-1440371E9D8D}">
      <text>
        <t>[Threaded comment]
Your version of Excel allows you to read this threaded comment; however, any edits to it will get removed if the file is opened in a newer version of Excel. Learn more: https://go.microsoft.com/fwlink/?linkid=870924
Comment:
    Assumes 420 hours is equivalent to 2.76 summer months [(420/456) * 3]</t>
      </text>
    </comment>
    <comment ref="J100" authorId="11" shapeId="0" xr:uid="{361FA9E8-9ACE-47B5-B90A-D9FD978945BB}">
      <text>
        <t>[Threaded comment]
Your version of Excel allows you to read this threaded comment; however, any edits to it will get removed if the file is opened in a newer version of Excel. Learn more: https://go.microsoft.com/fwlink/?linkid=870924
Comment:
    Enter 2.76 [(420/456 * 3] for 420 hours</t>
      </text>
    </comment>
    <comment ref="O100" authorId="12" shapeId="0" xr:uid="{28386CB6-5E84-4EE2-8F55-7C14BB089067}">
      <text>
        <t>[Threaded comment]
Your version of Excel allows you to read this threaded comment; however, any edits to it will get removed if the file is opened in a newer version of Excel. Learn more: https://go.microsoft.com/fwlink/?linkid=870924
Comment:
    Assumes a maximum of 420 (35 hours/week * 12 weeks) summer hours for a GRA</t>
      </text>
    </comment>
    <comment ref="I175" authorId="13" shapeId="0" xr:uid="{A80287E3-1726-4C4C-B904-4183F9DDDF5B}">
      <text>
        <t>[Threaded comment]
Your version of Excel allows you to read this threaded comment; however, any edits to it will get removed if the file is opened in a newer version of Excel. Learn more: https://go.microsoft.com/fwlink/?linkid=870924
Comment:
    Enter the appropriate Other Sponsored Activity, Instruction, Off-Campus, Commercial/For Profit, sponsor-stipulated, or project-specific F&amp;A rate; otherwise, leave blank.
https://research.arizona.edu/administration/build-budget/FA-Costs/FA-rates</t>
      </text>
    </comment>
    <comment ref="I178" authorId="14" shapeId="0" xr:uid="{79726345-6C9A-4656-98FE-74F471E268CF}">
      <text>
        <t>[Threaded comment]
Your version of Excel allows you to read this threaded comment; however, any edits to it will get removed if the file is opened in a newer version of Excel. Learn more: https://go.microsoft.com/fwlink/?linkid=870924
Comment:
    If the proposal is subject to the Policy for Indirect Costs with Direct Funds Transfer (DFT), enter the full indirect cost rate, and the effective UA indirect cost rate will be calculated automatically.
https://research.arizona.edu/administration/proposal-submission/proposal-approvals/university-arizona-foundation-direct-funds-transfer-dft</t>
      </text>
    </comment>
    <comment ref="K178" authorId="15" shapeId="0" xr:uid="{E12E9199-62D7-4678-9E88-652000A78F53}">
      <text>
        <t>[Threaded comment]
Your version of Excel allows you to read this threaded comment; however, any edits to it will get removed if the file is opened in a newer version of Excel. Learn more: https://go.microsoft.com/fwlink/?linkid=870924
Comment:
    This F&amp;A rate should be referenced/entered in UAccess Research; it has been calculated automatically in accordance with the Policy for Indirect Costs with Direct Funds Transfer (DFT).
https://research.arizona.edu/administration/proposal-submission/proposal-approvals/university-arizona-foundation-direct-funds-transfer-dft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tc={8B8A0D01-4AF0-4014-A0EF-E374D4DE7CE9}</author>
    <author>tc={F0D8051C-A617-411F-BC9D-D6ABF8F58E55}</author>
    <author>tc={EA42A083-01E4-4AB7-8EBC-349B1CA06951}</author>
  </authors>
  <commentList>
    <comment ref="O84" authorId="0" shapeId="0" xr:uid="{8B8A0D01-4AF0-4014-A0EF-E374D4DE7CE9}">
      <text>
        <t>[Threaded comment]
Your version of Excel allows you to read this threaded comment; however, any edits to it will get removed if the file is opened in a newer version of Excel. Learn more: https://go.microsoft.com/fwlink/?linkid=870924
Comment:
    Assumes a maximum of 420 (35 hours/week * 12 weeks) summer hours for a GRA</t>
      </text>
    </comment>
    <comment ref="O90" authorId="1" shapeId="0" xr:uid="{F0D8051C-A617-411F-BC9D-D6ABF8F58E55}">
      <text>
        <t>[Threaded comment]
Your version of Excel allows you to read this threaded comment; however, any edits to it will get removed if the file is opened in a newer version of Excel. Learn more: https://go.microsoft.com/fwlink/?linkid=870924
Comment:
    Assumes a maximum of 420 (35 hours/week * 12 weeks) summer hours for a GRA</t>
      </text>
    </comment>
    <comment ref="O96" authorId="2" shapeId="0" xr:uid="{EA42A083-01E4-4AB7-8EBC-349B1CA06951}">
      <text>
        <t>[Threaded comment]
Your version of Excel allows you to read this threaded comment; however, any edits to it will get removed if the file is opened in a newer version of Excel. Learn more: https://go.microsoft.com/fwlink/?linkid=870924
Comment:
    Assumes a maximum of 420 (35 hours/week * 12 weeks) summer hours for a GRA</t>
      </text>
    </comment>
  </commentList>
</comments>
</file>

<file path=xl/sharedStrings.xml><?xml version="1.0" encoding="utf-8"?>
<sst xmlns="http://schemas.openxmlformats.org/spreadsheetml/2006/main" count="1837" uniqueCount="205">
  <si>
    <t>Subtotal-Direct Labor</t>
  </si>
  <si>
    <t>Subtotal-Fringe Benefits</t>
  </si>
  <si>
    <t>Total Direct Costs (TDC)</t>
  </si>
  <si>
    <t>Direct Labor</t>
  </si>
  <si>
    <t xml:space="preserve">Fringe Benefits </t>
  </si>
  <si>
    <t>Year 2</t>
  </si>
  <si>
    <t>Year 1</t>
  </si>
  <si>
    <t>Year 3</t>
  </si>
  <si>
    <t>Year 4</t>
  </si>
  <si>
    <t>Year 5</t>
  </si>
  <si>
    <t>Total</t>
  </si>
  <si>
    <t>Travel</t>
  </si>
  <si>
    <t>Subtotal-Travel</t>
  </si>
  <si>
    <t>Modified Total Direct Cost (MTDC) Base</t>
  </si>
  <si>
    <t>% COLA</t>
  </si>
  <si>
    <t>% AY effort ---&gt;</t>
  </si>
  <si>
    <t># of Post-docs ---&gt;</t>
  </si>
  <si>
    <t># of summer months ---&gt;</t>
  </si>
  <si>
    <t xml:space="preserve">ENTER DATA IN HIGHLIGHTED CELLS </t>
  </si>
  <si>
    <t># of Trips</t>
  </si>
  <si>
    <t># of Travelers</t>
  </si>
  <si>
    <t>Airfare</t>
  </si>
  <si>
    <t>Per Diem</t>
  </si>
  <si>
    <t>Cost Per Traveler Per Trip</t>
  </si>
  <si>
    <t># of Items</t>
  </si>
  <si>
    <t>Cost Per Item</t>
  </si>
  <si>
    <t>% FY effort ---&gt;</t>
  </si>
  <si>
    <t>Project Total</t>
  </si>
  <si>
    <t>Start Date</t>
  </si>
  <si>
    <t>End Date</t>
  </si>
  <si>
    <t>Facilities &amp; Administrative (F&amp;A) Costs</t>
  </si>
  <si>
    <t>Graduate Tuition Remission</t>
  </si>
  <si>
    <t>Less Graduate Tuition Remission</t>
  </si>
  <si>
    <t>Other Direct Costs</t>
  </si>
  <si>
    <t>Foreign Travel:</t>
  </si>
  <si>
    <t>Domestic Travel:</t>
  </si>
  <si>
    <t>Year 1 Total</t>
  </si>
  <si>
    <t>Other Costs (See "Other Costs" Tab)</t>
  </si>
  <si>
    <t>Subtotal-Other Direct Costs</t>
  </si>
  <si>
    <t>Equipment</t>
  </si>
  <si>
    <t>Subtotal-Equipment</t>
  </si>
  <si>
    <t>Equipment #1</t>
  </si>
  <si>
    <t>Equipment #2</t>
  </si>
  <si>
    <t>Equipment #3</t>
  </si>
  <si>
    <t>Participant Support</t>
  </si>
  <si>
    <t>Less Equipment</t>
  </si>
  <si>
    <t>Less Subaward(s) &gt; $25,000</t>
  </si>
  <si>
    <t>Less Participant Support</t>
  </si>
  <si>
    <t>Tuition Remission</t>
  </si>
  <si>
    <t># of Student Employees ---&gt;</t>
  </si>
  <si>
    <t>Hourly Wage</t>
  </si>
  <si>
    <t>Base Salary</t>
  </si>
  <si>
    <t>Period of Performance</t>
  </si>
  <si>
    <t>Subtotal-F&amp;A Costs</t>
  </si>
  <si>
    <t>Other Costs:</t>
  </si>
  <si>
    <t>Ground Trans.</t>
  </si>
  <si>
    <t># of hours per student -----&gt;</t>
  </si>
  <si>
    <t>Note:  This budget has not been formally reviewed and approved by The University of Arizona.  
Rates and amounts included in this budget are subject to change.</t>
  </si>
  <si>
    <t>Year 1 Total for Other Costs</t>
  </si>
  <si>
    <t>Year 2 Total for Other Costs</t>
  </si>
  <si>
    <t>Year 2 Total</t>
  </si>
  <si>
    <t>Year 3 Total</t>
  </si>
  <si>
    <t>Year 4 Total</t>
  </si>
  <si>
    <t>Year 5 Total</t>
  </si>
  <si>
    <t>Year 3 Total for Other Costs</t>
  </si>
  <si>
    <t>Year 4 Total for Other Costs</t>
  </si>
  <si>
    <t>Year 5 Total for Other Costs</t>
  </si>
  <si>
    <t>Year 1 Total for Domestic Travel</t>
  </si>
  <si>
    <t>Year 2 Total for Domestic Travel</t>
  </si>
  <si>
    <t>Year 3 Total for Domestic Travel</t>
  </si>
  <si>
    <t>Year 4 Total for Domestic Travel</t>
  </si>
  <si>
    <t>Year 5 Total for Domestic Travel</t>
  </si>
  <si>
    <t>Year 1 Total for Foreign Travel</t>
  </si>
  <si>
    <t>Year 2 Total for Foreign Travel</t>
  </si>
  <si>
    <t>Year 3 Total for Foreign Travel</t>
  </si>
  <si>
    <t>Year 4 Total for Foreign Travel</t>
  </si>
  <si>
    <t>Year 5 Total for Foreign Travel</t>
  </si>
  <si>
    <t>Description of Item</t>
  </si>
  <si>
    <t>Type of Item</t>
  </si>
  <si>
    <t>Purpose of Trip</t>
  </si>
  <si>
    <t># of Years</t>
  </si>
  <si>
    <t>Actual</t>
  </si>
  <si>
    <t>Appt.</t>
  </si>
  <si>
    <t>Type</t>
  </si>
  <si>
    <t>TBD</t>
  </si>
  <si>
    <t>TBN, Graduate Assistant</t>
  </si>
  <si>
    <t>ERE</t>
  </si>
  <si>
    <t>Subtotal-Subawards</t>
  </si>
  <si>
    <t>Subaward #1 - Direct Costs (Institution/Lead PI)</t>
  </si>
  <si>
    <t>Subaward #1 - Indirect Costs (Institution/Lead PI)</t>
  </si>
  <si>
    <t>Subaward #2 - Direct Costs (Institution/Lead PI)</t>
  </si>
  <si>
    <t>Subaward #2 - Indirect Costs (Institution/Lead PI)</t>
  </si>
  <si>
    <t>NIH Total Direct Costs (Less Subaward Indirect Costs)</t>
  </si>
  <si>
    <t>Destination</t>
  </si>
  <si>
    <t>Cost per Traveler per Trip</t>
  </si>
  <si>
    <t>Subtotal-Direct Labor &amp; Fringe Benefits</t>
  </si>
  <si>
    <t>TOTAL COSTS (TDC + F&amp;A)</t>
  </si>
  <si>
    <t>Other Costs</t>
  </si>
  <si>
    <t>Domestic Travel</t>
  </si>
  <si>
    <t>Foreign Travel</t>
  </si>
  <si>
    <t>Project Title:  (Subaward 1)</t>
  </si>
  <si>
    <t>Nights Per Trip</t>
  </si>
  <si>
    <t>Subaward #3 - Direct Costs (Institution/Lead PI)</t>
  </si>
  <si>
    <t>Subaward #3 - Indirect Costs (Institution/Lead PI)</t>
  </si>
  <si>
    <t>Lodging Per Night</t>
  </si>
  <si>
    <t>Project Title:  (Subaward 2)</t>
  </si>
  <si>
    <t>Project Title:  (Subaward 3)</t>
  </si>
  <si>
    <t>COST SHARE</t>
  </si>
  <si>
    <t>TOTAL COST SHARE</t>
  </si>
  <si>
    <t>Fringe Benefits ---&gt;</t>
  </si>
  <si>
    <t>Academic</t>
  </si>
  <si>
    <t>Title</t>
  </si>
  <si>
    <t>Category of Participant</t>
  </si>
  <si>
    <t>Support Type</t>
  </si>
  <si>
    <t>Year 1 Total for Participant Support</t>
  </si>
  <si>
    <t>Year 2 Total for Participant Support</t>
  </si>
  <si>
    <t>Year 3 for Participant Support</t>
  </si>
  <si>
    <t>Year 4 for Participant Support</t>
  </si>
  <si>
    <t>Year 5 Total for Participant Support</t>
  </si>
  <si>
    <t>F&amp;A Rate:</t>
  </si>
  <si>
    <t>MTDC</t>
  </si>
  <si>
    <t>F&amp;A Type:</t>
  </si>
  <si>
    <t>Rate</t>
  </si>
  <si>
    <t>F</t>
  </si>
  <si>
    <t>A</t>
  </si>
  <si>
    <t>Appt. Type</t>
  </si>
  <si>
    <t>Avg. Effort</t>
  </si>
  <si>
    <t>Avg. PM</t>
  </si>
  <si>
    <t>Total Person Months ---&gt;</t>
  </si>
  <si>
    <t>F&amp;A Types</t>
  </si>
  <si>
    <t>F&amp;A Formula</t>
  </si>
  <si>
    <t>TDC</t>
  </si>
  <si>
    <t>TC</t>
  </si>
  <si>
    <t>Materials and Supplies</t>
  </si>
  <si>
    <t>Publication Costs</t>
  </si>
  <si>
    <t>Consultant Services</t>
  </si>
  <si>
    <t>Tuition/Fees/Health Insurance</t>
  </si>
  <si>
    <t xml:space="preserve">Stipends  </t>
  </si>
  <si>
    <t>Subsistence</t>
  </si>
  <si>
    <t>Other</t>
  </si>
  <si>
    <t>Student Workers @</t>
  </si>
  <si>
    <t xml:space="preserve">UA Employees @ </t>
  </si>
  <si>
    <t xml:space="preserve">Faculty - Ancillary @ </t>
  </si>
  <si>
    <t xml:space="preserve">Classified Temporary @ </t>
  </si>
  <si>
    <t xml:space="preserve">Graduate Assistants @ </t>
  </si>
  <si>
    <t xml:space="preserve">Student Employees @ </t>
  </si>
  <si>
    <t xml:space="preserve">Employees @ </t>
  </si>
  <si>
    <t xml:space="preserve">Post-docs @ </t>
  </si>
  <si>
    <t>Annual Tuition Remission:</t>
  </si>
  <si>
    <t>Actual Base Salary</t>
  </si>
  <si>
    <t>Institution/Lead PI</t>
  </si>
  <si>
    <t xml:space="preserve">Salary Cap: </t>
  </si>
  <si>
    <t>Salary Cap:</t>
  </si>
  <si>
    <t>Domestic Travel (See "Travel" Tab, Columns A-L)</t>
  </si>
  <si>
    <t>Foreign Travel (See "Travel" Tab, Columns O-Z)</t>
  </si>
  <si>
    <t>Subtotal-Participant Support</t>
  </si>
  <si>
    <t>Subaward #1 - Total Costs</t>
  </si>
  <si>
    <t>Subaward #2 - Total Costs</t>
  </si>
  <si>
    <t>Subaward #3 - Total Costs</t>
  </si>
  <si>
    <t>Participant Support (See "Participant Support" Tab)</t>
  </si>
  <si>
    <t>UA Minimum Wage (hourly):</t>
  </si>
  <si>
    <t>&lt;-- Annual Increase</t>
  </si>
  <si>
    <t>TBN, Student Worker</t>
  </si>
  <si>
    <t>Subaward #4 - Total Costs</t>
  </si>
  <si>
    <t>Subaward #5 - Total Costs</t>
  </si>
  <si>
    <t>Project Title:  (Subaward 4)</t>
  </si>
  <si>
    <t>Project Title:  (Subaward 5)</t>
  </si>
  <si>
    <t>Maximum Annual NIH Direct Costs</t>
  </si>
  <si>
    <r>
      <t xml:space="preserve">Balance </t>
    </r>
    <r>
      <rPr>
        <b/>
        <sz val="12"/>
        <color rgb="FFFF0000"/>
        <rFont val="Times New Roman"/>
        <family val="1"/>
      </rPr>
      <t>OVER</t>
    </r>
    <r>
      <rPr>
        <b/>
        <sz val="12"/>
        <color theme="1"/>
        <rFont val="Times New Roman"/>
        <family val="1"/>
      </rPr>
      <t>/(UNDER)</t>
    </r>
  </si>
  <si>
    <t>Part Time Effort Calculator</t>
  </si>
  <si>
    <t>PTE:</t>
  </si>
  <si>
    <t>Project % Effort:</t>
  </si>
  <si>
    <t>Annualized CM:</t>
  </si>
  <si>
    <t>Annualized % Effort:</t>
  </si>
  <si>
    <t>COST SHARE BUDGET</t>
  </si>
  <si>
    <t xml:space="preserve">TBD </t>
  </si>
  <si>
    <t>TOTAL COSTS COST SHARE</t>
  </si>
  <si>
    <t>Subtotal -Fringe Benefits</t>
  </si>
  <si>
    <t>Subtotal -Direct Labor</t>
  </si>
  <si>
    <t>Subtotal -Other Costs</t>
  </si>
  <si>
    <t>Subaward #4 - Direct Costs (Institution/Lead PI)</t>
  </si>
  <si>
    <t>Subaward #4 - Indirect Costs (Institution/Lead PI)</t>
  </si>
  <si>
    <t>Subaward #5 - Direct Costs (Institution/Lead PI)</t>
  </si>
  <si>
    <t>Subaward #5 - Indirect Costs (Institution/Lead PI)</t>
  </si>
  <si>
    <t>MTDC Subaward Exclusion Amt.</t>
  </si>
  <si>
    <t xml:space="preserve">Ancillary Employees @ </t>
  </si>
  <si>
    <t>NIH NRSA Postdoc Stipend Levels (Years of Experience):</t>
  </si>
  <si>
    <t>Years Experience</t>
  </si>
  <si>
    <t>UA Postdoc Minimum Salary:</t>
  </si>
  <si>
    <t>Maximum Annual Direct Costs</t>
  </si>
  <si>
    <t xml:space="preserve">Project Title: </t>
  </si>
  <si>
    <t>F&amp;A Costs @ 54.5% MTDC (7/1/24-6/30/25)</t>
  </si>
  <si>
    <t>F&amp;A Costs @ 55.0% MTDC (7/1/25-6/30/26)</t>
  </si>
  <si>
    <t>F&amp;A Costs @ 55.5% MTDC (7/1/26 forward)</t>
  </si>
  <si>
    <t>TBN, Role</t>
  </si>
  <si>
    <t>TBN, Postdoctoral Research Associate</t>
  </si>
  <si>
    <t>TBN, Graduate Research Assistant</t>
  </si>
  <si>
    <t>MTDC Base by Rate</t>
  </si>
  <si>
    <t># of hours -----&gt;</t>
  </si>
  <si>
    <t>Conference Fee</t>
  </si>
  <si>
    <t>Facilities &amp; Administrative (F&amp;A) Costs [On-campus Research]</t>
  </si>
  <si>
    <t>Facilities &amp; Administrative (F&amp;A) Costs [UA Foundation DFT]</t>
  </si>
  <si>
    <t>Overall F&amp;A Rate:</t>
  </si>
  <si>
    <t>Effective UA F&amp;A Rate:</t>
  </si>
  <si>
    <t>TBN, Role (with salary cap cost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</si>
</sst>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_);_(* \(#,##0.00\);_(* &quot;-&quot;_);_(@_)"/>
    <numFmt numFmtId="166" formatCode="_(&quot;$&quot;* #,##0_);_(&quot;$&quot;* \(#,##0\);_(&quot;$&quot;* &quot;-&quot;??_);_(@_)"/>
    <numFmt numFmtId="167" formatCode="mm/dd/yy;@"/>
    <numFmt numFmtId="168" formatCode="&quot;$&quot;#,##0"/>
    <numFmt numFmtId="169" formatCode="&quot;$&quot;#,##0.00"/>
    <numFmt numFmtId="170" formatCode="0.00000000000%"/>
    <numFmt numFmtId="171" formatCode="&quot;$&quot;#,##0.0_);\(&quot;$&quot;#,##0.0\)"/>
    <numFmt numFmtId="172" formatCode="0.0%"/>
    <numFmt numFmtId="173" formatCode="_(&quot;$&quot;* #,##0.00_);_(&quot;$&quot;* \(#,##0.00\);_(&quot;$&quot;* &quot;-&quot;_);_(@_)"/>
  </numFmts>
  <fonts count="18" x14ac:knownFonts="1">
    <font>
      <sz val="10"/>
      <name val="Arial"/>
    </font>
    <font>
      <sz val="10"/>
      <name val="Arial"/>
      <family val="2"/>
    </font>
    <font>
      <sz val="8"/>
      <name val="Arial"/>
      <family val="2"/>
    </font>
    <font>
      <sz val="10"/>
      <name val="Arial"/>
      <family val="2"/>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2"/>
      <color theme="1"/>
      <name val="Times New Roman"/>
      <family val="1"/>
    </font>
    <font>
      <i/>
      <sz val="12"/>
      <color theme="1"/>
      <name val="Times New Roman"/>
      <family val="1"/>
    </font>
    <font>
      <b/>
      <sz val="12"/>
      <color theme="1"/>
      <name val="Times New Roman"/>
      <family val="1"/>
    </font>
    <font>
      <b/>
      <sz val="14"/>
      <name val="Times New Roman"/>
      <family val="1"/>
    </font>
    <font>
      <u/>
      <sz val="10"/>
      <color theme="10"/>
      <name val="Arial"/>
      <family val="2"/>
    </font>
    <font>
      <b/>
      <sz val="12"/>
      <color rgb="FFFF0000"/>
      <name val="Times New Roman"/>
      <family val="1"/>
    </font>
    <font>
      <b/>
      <u/>
      <sz val="12"/>
      <name val="Times New Roman"/>
      <family val="1"/>
    </font>
    <font>
      <b/>
      <u/>
      <sz val="12"/>
      <color theme="10"/>
      <name val="Times New Roman"/>
      <family val="1"/>
    </font>
    <font>
      <b/>
      <i/>
      <sz val="12"/>
      <color theme="5" tint="-0.249977111117893"/>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lightUp"/>
    </fill>
  </fills>
  <borders count="18">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bottom style="medium">
        <color indexed="64"/>
      </bottom>
      <diagonal/>
    </border>
  </borders>
  <cellStyleXfs count="10">
    <xf numFmtId="0" fontId="0" fillId="0" borderId="0"/>
    <xf numFmtId="43" fontId="1" fillId="0" borderId="0" applyFont="0" applyFill="0" applyBorder="0" applyAlignment="0" applyProtection="0"/>
    <xf numFmtId="0" fontId="1"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3" fillId="0" borderId="0" applyNumberFormat="0" applyFill="0" applyBorder="0" applyAlignment="0" applyProtection="0"/>
    <xf numFmtId="44" fontId="1" fillId="0" borderId="0" applyFont="0" applyFill="0" applyBorder="0" applyAlignment="0" applyProtection="0"/>
  </cellStyleXfs>
  <cellXfs count="502">
    <xf numFmtId="0" fontId="0" fillId="0" borderId="0" xfId="0"/>
    <xf numFmtId="0" fontId="6" fillId="0" borderId="0" xfId="0" applyFont="1"/>
    <xf numFmtId="0" fontId="5" fillId="0" borderId="0" xfId="0" applyFont="1"/>
    <xf numFmtId="164" fontId="5" fillId="0" borderId="0" xfId="0" applyNumberFormat="1" applyFont="1"/>
    <xf numFmtId="0" fontId="6" fillId="0" borderId="6" xfId="0" applyFont="1" applyBorder="1"/>
    <xf numFmtId="0" fontId="5" fillId="0" borderId="0" xfId="0" applyFont="1" applyAlignment="1">
      <alignment horizontal="center"/>
    </xf>
    <xf numFmtId="0" fontId="5" fillId="0" borderId="3" xfId="0" applyFont="1" applyBorder="1" applyAlignment="1">
      <alignment horizontal="center" wrapText="1"/>
    </xf>
    <xf numFmtId="0" fontId="5" fillId="0" borderId="3" xfId="0" applyFont="1" applyBorder="1" applyAlignment="1">
      <alignment horizontal="center"/>
    </xf>
    <xf numFmtId="0" fontId="5" fillId="0" borderId="6" xfId="0" applyFont="1" applyBorder="1" applyAlignment="1">
      <alignment horizontal="center"/>
    </xf>
    <xf numFmtId="0" fontId="5" fillId="0" borderId="6" xfId="0" applyFont="1" applyBorder="1"/>
    <xf numFmtId="0" fontId="5" fillId="0" borderId="7" xfId="0" applyFont="1" applyBorder="1"/>
    <xf numFmtId="0" fontId="5" fillId="0" borderId="0" xfId="2" applyFont="1"/>
    <xf numFmtId="0" fontId="6" fillId="0" borderId="0" xfId="3" applyFont="1"/>
    <xf numFmtId="0" fontId="7" fillId="0" borderId="0" xfId="0" applyFont="1" applyAlignment="1">
      <alignment horizontal="left" indent="1"/>
    </xf>
    <xf numFmtId="41" fontId="5" fillId="0" borderId="0" xfId="0" applyNumberFormat="1" applyFont="1"/>
    <xf numFmtId="41" fontId="6" fillId="2" borderId="7" xfId="1" applyNumberFormat="1" applyFont="1" applyFill="1" applyBorder="1"/>
    <xf numFmtId="165" fontId="6" fillId="2" borderId="0" xfId="1" applyNumberFormat="1" applyFont="1" applyFill="1" applyBorder="1"/>
    <xf numFmtId="10" fontId="6" fillId="2" borderId="0" xfId="5" applyNumberFormat="1" applyFont="1" applyFill="1" applyBorder="1"/>
    <xf numFmtId="43" fontId="6" fillId="0" borderId="0" xfId="0" applyNumberFormat="1" applyFont="1"/>
    <xf numFmtId="0" fontId="6" fillId="0" borderId="0" xfId="0" applyFont="1" applyAlignment="1">
      <alignment horizontal="left" indent="2"/>
    </xf>
    <xf numFmtId="41" fontId="5" fillId="0" borderId="0" xfId="0" applyNumberFormat="1" applyFont="1" applyProtection="1">
      <protection locked="0"/>
    </xf>
    <xf numFmtId="0" fontId="6" fillId="0" borderId="8" xfId="0" applyFont="1" applyBorder="1"/>
    <xf numFmtId="0" fontId="6" fillId="0" borderId="9" xfId="0" applyFont="1" applyBorder="1"/>
    <xf numFmtId="0" fontId="6" fillId="0" borderId="0" xfId="0" applyFont="1" applyAlignment="1">
      <alignment horizontal="left"/>
    </xf>
    <xf numFmtId="41" fontId="6" fillId="2" borderId="0" xfId="0" applyNumberFormat="1" applyFont="1" applyFill="1"/>
    <xf numFmtId="41" fontId="6" fillId="2" borderId="0" xfId="1" applyNumberFormat="1" applyFont="1" applyFill="1" applyBorder="1"/>
    <xf numFmtId="10" fontId="6" fillId="2" borderId="3" xfId="5" applyNumberFormat="1" applyFont="1" applyFill="1" applyBorder="1"/>
    <xf numFmtId="41" fontId="6" fillId="2" borderId="3" xfId="1" applyNumberFormat="1" applyFont="1" applyFill="1" applyBorder="1"/>
    <xf numFmtId="164" fontId="5" fillId="0" borderId="0" xfId="1" applyNumberFormat="1" applyFont="1" applyBorder="1" applyProtection="1"/>
    <xf numFmtId="164" fontId="5" fillId="0" borderId="0" xfId="1" applyNumberFormat="1" applyFont="1" applyBorder="1"/>
    <xf numFmtId="0" fontId="7" fillId="0" borderId="0" xfId="0" applyFont="1"/>
    <xf numFmtId="0" fontId="6" fillId="0" borderId="0" xfId="0" applyFont="1" applyAlignment="1">
      <alignment wrapText="1"/>
    </xf>
    <xf numFmtId="0" fontId="5" fillId="0" borderId="4" xfId="3" applyFont="1" applyBorder="1"/>
    <xf numFmtId="0" fontId="6" fillId="0" borderId="1" xfId="3" applyFont="1" applyBorder="1"/>
    <xf numFmtId="0" fontId="6" fillId="0" borderId="5" xfId="3" applyFont="1" applyBorder="1"/>
    <xf numFmtId="0" fontId="6" fillId="2" borderId="10" xfId="3" applyFont="1" applyFill="1" applyBorder="1"/>
    <xf numFmtId="166" fontId="6" fillId="0" borderId="10" xfId="7" applyNumberFormat="1" applyFont="1" applyBorder="1"/>
    <xf numFmtId="166" fontId="6" fillId="0" borderId="0" xfId="0" applyNumberFormat="1" applyFont="1"/>
    <xf numFmtId="0" fontId="5" fillId="0" borderId="4" xfId="0" applyFont="1" applyBorder="1"/>
    <xf numFmtId="167" fontId="6" fillId="2" borderId="0" xfId="0" applyNumberFormat="1" applyFont="1" applyFill="1"/>
    <xf numFmtId="167" fontId="6" fillId="2" borderId="7" xfId="0" applyNumberFormat="1" applyFont="1" applyFill="1" applyBorder="1"/>
    <xf numFmtId="9" fontId="6" fillId="2" borderId="7" xfId="5" applyFont="1" applyFill="1" applyBorder="1"/>
    <xf numFmtId="0" fontId="6" fillId="0" borderId="4" xfId="0" applyFont="1" applyBorder="1"/>
    <xf numFmtId="0" fontId="10" fillId="0" borderId="0" xfId="0" applyFont="1" applyAlignment="1">
      <alignment horizontal="left" indent="1"/>
    </xf>
    <xf numFmtId="0" fontId="11" fillId="0" borderId="0" xfId="0" applyFont="1"/>
    <xf numFmtId="0" fontId="9" fillId="0" borderId="0" xfId="0" applyFont="1"/>
    <xf numFmtId="0" fontId="12" fillId="0" borderId="4" xfId="3" applyFont="1" applyBorder="1"/>
    <xf numFmtId="0" fontId="12" fillId="0" borderId="0" xfId="0" applyFont="1"/>
    <xf numFmtId="0" fontId="12" fillId="0" borderId="0" xfId="3" applyFont="1"/>
    <xf numFmtId="0" fontId="5" fillId="0" borderId="7" xfId="2" applyFont="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2" fontId="6" fillId="0" borderId="0" xfId="0" applyNumberFormat="1" applyFont="1" applyAlignment="1">
      <alignment horizontal="center"/>
    </xf>
    <xf numFmtId="0" fontId="5" fillId="0" borderId="6" xfId="0" applyFont="1" applyBorder="1" applyAlignment="1">
      <alignment horizontal="right" indent="1"/>
    </xf>
    <xf numFmtId="42" fontId="5" fillId="0" borderId="0" xfId="0" applyNumberFormat="1" applyFont="1"/>
    <xf numFmtId="42" fontId="6" fillId="0" borderId="0" xfId="1" applyNumberFormat="1" applyFont="1" applyFill="1"/>
    <xf numFmtId="42" fontId="6" fillId="0" borderId="0" xfId="0" applyNumberFormat="1" applyFont="1"/>
    <xf numFmtId="42" fontId="5" fillId="0" borderId="0" xfId="0" applyNumberFormat="1" applyFont="1" applyProtection="1">
      <protection locked="0"/>
    </xf>
    <xf numFmtId="42" fontId="8" fillId="0" borderId="1" xfId="1" applyNumberFormat="1" applyFont="1" applyFill="1" applyBorder="1"/>
    <xf numFmtId="42" fontId="5" fillId="0" borderId="1" xfId="0" applyNumberFormat="1" applyFont="1" applyBorder="1"/>
    <xf numFmtId="42" fontId="6" fillId="0" borderId="0" xfId="1" applyNumberFormat="1" applyFont="1"/>
    <xf numFmtId="42" fontId="5" fillId="0" borderId="1" xfId="1" applyNumberFormat="1" applyFont="1" applyBorder="1" applyProtection="1"/>
    <xf numFmtId="42" fontId="11" fillId="0" borderId="0" xfId="0" applyNumberFormat="1" applyFont="1"/>
    <xf numFmtId="42" fontId="11" fillId="0" borderId="1" xfId="1" applyNumberFormat="1" applyFont="1" applyBorder="1" applyProtection="1"/>
    <xf numFmtId="42" fontId="11" fillId="0" borderId="1" xfId="0" applyNumberFormat="1" applyFont="1" applyBorder="1"/>
    <xf numFmtId="42" fontId="5" fillId="0" borderId="2" xfId="1" applyNumberFormat="1" applyFont="1" applyBorder="1" applyProtection="1"/>
    <xf numFmtId="42" fontId="5" fillId="0" borderId="2" xfId="0" applyNumberFormat="1" applyFont="1" applyBorder="1"/>
    <xf numFmtId="42" fontId="5" fillId="0" borderId="0" xfId="1" applyNumberFormat="1" applyFont="1" applyFill="1" applyBorder="1"/>
    <xf numFmtId="42" fontId="5" fillId="0" borderId="0" xfId="1" applyNumberFormat="1" applyFont="1" applyBorder="1"/>
    <xf numFmtId="42" fontId="6" fillId="2" borderId="0" xfId="0" applyNumberFormat="1" applyFont="1" applyFill="1"/>
    <xf numFmtId="42" fontId="6" fillId="0" borderId="0" xfId="1" applyNumberFormat="1" applyFont="1" applyFill="1" applyBorder="1"/>
    <xf numFmtId="42" fontId="5" fillId="0" borderId="1" xfId="1" applyNumberFormat="1" applyFont="1" applyFill="1" applyBorder="1" applyProtection="1"/>
    <xf numFmtId="42" fontId="9" fillId="0" borderId="0" xfId="1" applyNumberFormat="1" applyFont="1" applyFill="1" applyBorder="1"/>
    <xf numFmtId="42" fontId="9" fillId="0" borderId="0" xfId="1" applyNumberFormat="1" applyFont="1" applyFill="1"/>
    <xf numFmtId="42" fontId="9" fillId="2" borderId="0" xfId="1" applyNumberFormat="1" applyFont="1" applyFill="1"/>
    <xf numFmtId="42" fontId="5" fillId="0" borderId="0" xfId="1" applyNumberFormat="1" applyFont="1" applyBorder="1" applyProtection="1"/>
    <xf numFmtId="42" fontId="9" fillId="0" borderId="0" xfId="1" applyNumberFormat="1" applyFont="1"/>
    <xf numFmtId="42" fontId="9" fillId="0" borderId="0" xfId="0" applyNumberFormat="1" applyFont="1"/>
    <xf numFmtId="42" fontId="11" fillId="0" borderId="0" xfId="1" applyNumberFormat="1" applyFont="1" applyProtection="1"/>
    <xf numFmtId="42" fontId="6" fillId="2" borderId="0" xfId="1" applyNumberFormat="1" applyFont="1" applyFill="1" applyProtection="1"/>
    <xf numFmtId="42" fontId="5" fillId="0" borderId="0" xfId="1" applyNumberFormat="1" applyFont="1"/>
    <xf numFmtId="0" fontId="6" fillId="0" borderId="0" xfId="3" applyFont="1" applyAlignment="1">
      <alignment vertical="center" wrapText="1"/>
    </xf>
    <xf numFmtId="0" fontId="5" fillId="0" borderId="10" xfId="3" applyFont="1" applyBorder="1" applyAlignment="1">
      <alignment horizontal="center" vertical="center" wrapText="1"/>
    </xf>
    <xf numFmtId="0" fontId="5" fillId="0" borderId="10" xfId="3" applyFont="1" applyBorder="1" applyAlignment="1">
      <alignment horizontal="center"/>
    </xf>
    <xf numFmtId="0" fontId="10" fillId="2" borderId="0" xfId="0" applyFont="1" applyFill="1" applyAlignment="1">
      <alignment horizontal="left" indent="1"/>
    </xf>
    <xf numFmtId="0" fontId="7" fillId="2" borderId="0" xfId="0" applyFont="1" applyFill="1" applyAlignment="1">
      <alignment horizontal="left" indent="1"/>
    </xf>
    <xf numFmtId="166" fontId="5" fillId="0" borderId="16" xfId="7" applyNumberFormat="1" applyFont="1" applyBorder="1"/>
    <xf numFmtId="0" fontId="5" fillId="0" borderId="10" xfId="3" applyFont="1" applyBorder="1" applyAlignment="1">
      <alignment wrapText="1"/>
    </xf>
    <xf numFmtId="0" fontId="5" fillId="0" borderId="10" xfId="3" applyFont="1" applyBorder="1" applyAlignment="1">
      <alignment horizontal="center" wrapText="1"/>
    </xf>
    <xf numFmtId="168" fontId="5" fillId="0" borderId="0" xfId="0" applyNumberFormat="1" applyFont="1"/>
    <xf numFmtId="168" fontId="6" fillId="0" borderId="0" xfId="0" applyNumberFormat="1" applyFont="1"/>
    <xf numFmtId="10" fontId="6" fillId="0" borderId="3" xfId="4" applyNumberFormat="1" applyFont="1" applyFill="1" applyBorder="1"/>
    <xf numFmtId="0" fontId="6" fillId="0" borderId="0" xfId="0" applyFont="1" applyAlignment="1">
      <alignment horizontal="center"/>
    </xf>
    <xf numFmtId="42" fontId="9" fillId="0" borderId="0" xfId="1" applyNumberFormat="1" applyFont="1" applyProtection="1"/>
    <xf numFmtId="0" fontId="6" fillId="0" borderId="0" xfId="3" applyFont="1" applyAlignment="1">
      <alignment horizontal="center"/>
    </xf>
    <xf numFmtId="0" fontId="6" fillId="2" borderId="10" xfId="3" applyFont="1" applyFill="1" applyBorder="1" applyAlignment="1">
      <alignment horizontal="center"/>
    </xf>
    <xf numFmtId="0" fontId="6" fillId="0" borderId="1" xfId="3" applyFont="1" applyBorder="1" applyAlignment="1">
      <alignment horizontal="center"/>
    </xf>
    <xf numFmtId="0" fontId="6" fillId="2" borderId="10" xfId="3" applyFont="1" applyFill="1" applyBorder="1" applyAlignment="1">
      <alignment vertical="center"/>
    </xf>
    <xf numFmtId="0" fontId="6" fillId="2" borderId="10" xfId="3" applyFont="1" applyFill="1" applyBorder="1" applyAlignment="1">
      <alignment vertical="center" wrapText="1"/>
    </xf>
    <xf numFmtId="0" fontId="6" fillId="2" borderId="10" xfId="3" applyFont="1" applyFill="1" applyBorder="1" applyAlignment="1">
      <alignment horizontal="center" vertical="center"/>
    </xf>
    <xf numFmtId="168" fontId="6" fillId="2" borderId="10" xfId="7" applyNumberFormat="1" applyFont="1" applyFill="1" applyBorder="1" applyAlignment="1">
      <alignment vertical="center"/>
    </xf>
    <xf numFmtId="166" fontId="6" fillId="0" borderId="10" xfId="7" applyNumberFormat="1" applyFont="1" applyBorder="1" applyAlignment="1">
      <alignment vertical="center"/>
    </xf>
    <xf numFmtId="0" fontId="5" fillId="0" borderId="5" xfId="2" applyFont="1" applyBorder="1" applyAlignment="1">
      <alignment horizontal="center"/>
    </xf>
    <xf numFmtId="42" fontId="9" fillId="0" borderId="0" xfId="1" applyNumberFormat="1" applyFont="1" applyBorder="1" applyAlignment="1" applyProtection="1">
      <alignment vertical="center"/>
    </xf>
    <xf numFmtId="0" fontId="10" fillId="0" borderId="0" xfId="0" applyFont="1" applyAlignment="1">
      <alignment horizontal="left" vertical="center" indent="1"/>
    </xf>
    <xf numFmtId="41" fontId="9" fillId="0" borderId="0" xfId="1" applyNumberFormat="1" applyFont="1" applyFill="1" applyBorder="1"/>
    <xf numFmtId="0" fontId="6" fillId="0" borderId="6" xfId="0" applyFont="1" applyBorder="1" applyAlignment="1">
      <alignment horizontal="right" indent="1"/>
    </xf>
    <xf numFmtId="0" fontId="6" fillId="0" borderId="8" xfId="0" applyFont="1" applyBorder="1" applyAlignment="1">
      <alignment horizontal="right" indent="1"/>
    </xf>
    <xf numFmtId="7" fontId="6" fillId="2" borderId="7" xfId="1" applyNumberFormat="1" applyFont="1" applyFill="1" applyBorder="1"/>
    <xf numFmtId="42" fontId="9" fillId="0" borderId="0" xfId="1" applyNumberFormat="1" applyFont="1" applyFill="1" applyProtection="1"/>
    <xf numFmtId="42" fontId="11" fillId="3" borderId="2" xfId="1" applyNumberFormat="1" applyFont="1" applyFill="1" applyBorder="1" applyProtection="1"/>
    <xf numFmtId="42" fontId="5" fillId="3" borderId="2" xfId="1" applyNumberFormat="1" applyFont="1" applyFill="1" applyBorder="1" applyProtection="1"/>
    <xf numFmtId="0" fontId="5" fillId="0" borderId="0" xfId="0" applyFont="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8" fillId="0" borderId="0" xfId="0" applyFont="1" applyAlignment="1">
      <alignment horizontal="right" vertical="center"/>
    </xf>
    <xf numFmtId="0" fontId="11" fillId="0" borderId="1" xfId="0" applyFont="1" applyBorder="1" applyAlignment="1">
      <alignment vertical="center"/>
    </xf>
    <xf numFmtId="0" fontId="11" fillId="3" borderId="2" xfId="0" applyFont="1" applyFill="1" applyBorder="1" applyAlignment="1">
      <alignment vertical="center"/>
    </xf>
    <xf numFmtId="42" fontId="9" fillId="2" borderId="0" xfId="1" applyNumberFormat="1" applyFont="1" applyFill="1" applyBorder="1" applyAlignment="1" applyProtection="1">
      <alignment vertical="center"/>
    </xf>
    <xf numFmtId="0" fontId="5" fillId="5" borderId="2" xfId="0" applyFont="1" applyFill="1" applyBorder="1" applyAlignment="1">
      <alignment vertical="center"/>
    </xf>
    <xf numFmtId="0" fontId="5" fillId="0" borderId="0" xfId="0" applyFont="1" applyAlignment="1">
      <alignment horizontal="left"/>
    </xf>
    <xf numFmtId="0" fontId="6" fillId="0" borderId="8" xfId="0" applyFont="1" applyBorder="1" applyAlignment="1">
      <alignment horizontal="right"/>
    </xf>
    <xf numFmtId="41" fontId="6" fillId="0" borderId="0" xfId="0" applyNumberFormat="1" applyFont="1"/>
    <xf numFmtId="41" fontId="6" fillId="0" borderId="0" xfId="1" applyNumberFormat="1" applyFont="1" applyFill="1" applyBorder="1"/>
    <xf numFmtId="0" fontId="1" fillId="0" borderId="0" xfId="3"/>
    <xf numFmtId="0" fontId="5" fillId="0" borderId="10" xfId="3" applyFont="1" applyBorder="1" applyAlignment="1">
      <alignment horizontal="center" vertical="center"/>
    </xf>
    <xf numFmtId="0" fontId="6" fillId="2" borderId="10" xfId="3" applyFont="1" applyFill="1" applyBorder="1" applyAlignment="1">
      <alignment wrapText="1"/>
    </xf>
    <xf numFmtId="0" fontId="6" fillId="2" borderId="10" xfId="3" applyFont="1" applyFill="1" applyBorder="1" applyAlignment="1">
      <alignment horizontal="center" wrapText="1"/>
    </xf>
    <xf numFmtId="168" fontId="6" fillId="2" borderId="10" xfId="9" applyNumberFormat="1" applyFont="1" applyFill="1" applyBorder="1" applyAlignment="1">
      <alignment wrapText="1"/>
    </xf>
    <xf numFmtId="166" fontId="6" fillId="0" borderId="10" xfId="9" applyNumberFormat="1" applyFont="1" applyBorder="1" applyAlignment="1"/>
    <xf numFmtId="166" fontId="6" fillId="0" borderId="10" xfId="9" applyNumberFormat="1" applyFont="1" applyBorder="1" applyAlignment="1">
      <alignment vertical="center"/>
    </xf>
    <xf numFmtId="0" fontId="6" fillId="2" borderId="10" xfId="3" applyFont="1" applyFill="1" applyBorder="1" applyAlignment="1">
      <alignment horizontal="center" vertical="center" wrapText="1"/>
    </xf>
    <xf numFmtId="168" fontId="6" fillId="2" borderId="10" xfId="9" applyNumberFormat="1" applyFont="1" applyFill="1" applyBorder="1" applyAlignment="1">
      <alignment vertical="center" wrapText="1"/>
    </xf>
    <xf numFmtId="166" fontId="5" fillId="0" borderId="16" xfId="9" applyNumberFormat="1" applyFont="1" applyBorder="1"/>
    <xf numFmtId="168" fontId="6" fillId="2" borderId="10" xfId="9" applyNumberFormat="1" applyFont="1" applyFill="1" applyBorder="1" applyAlignment="1">
      <alignment vertical="center"/>
    </xf>
    <xf numFmtId="166" fontId="5" fillId="0" borderId="16" xfId="9" applyNumberFormat="1" applyFont="1" applyBorder="1" applyAlignment="1"/>
    <xf numFmtId="168" fontId="6" fillId="2" borderId="10" xfId="9" applyNumberFormat="1" applyFont="1" applyFill="1" applyBorder="1"/>
    <xf numFmtId="166" fontId="6" fillId="0" borderId="10" xfId="9" applyNumberFormat="1" applyFont="1" applyBorder="1"/>
    <xf numFmtId="0" fontId="8" fillId="0" borderId="0" xfId="3" applyFont="1" applyAlignment="1">
      <alignment horizontal="right" indent="1"/>
    </xf>
    <xf numFmtId="166" fontId="6" fillId="0" borderId="0" xfId="3" applyNumberFormat="1" applyFont="1"/>
    <xf numFmtId="168" fontId="6" fillId="2" borderId="0" xfId="0" applyNumberFormat="1" applyFont="1" applyFill="1"/>
    <xf numFmtId="0" fontId="6" fillId="2" borderId="0" xfId="0" applyFont="1" applyFill="1" applyAlignment="1">
      <alignment horizontal="center"/>
    </xf>
    <xf numFmtId="5" fontId="6" fillId="0" borderId="7" xfId="0" applyNumberFormat="1" applyFont="1" applyBorder="1"/>
    <xf numFmtId="0" fontId="6" fillId="0" borderId="7" xfId="0" applyFont="1" applyBorder="1"/>
    <xf numFmtId="166" fontId="6" fillId="0" borderId="0" xfId="4" applyNumberFormat="1" applyFont="1" applyFill="1" applyBorder="1"/>
    <xf numFmtId="9" fontId="6" fillId="0" borderId="0" xfId="4" applyFont="1" applyFill="1" applyAlignment="1">
      <alignment horizontal="center"/>
    </xf>
    <xf numFmtId="10" fontId="6" fillId="2" borderId="0" xfId="4" applyNumberFormat="1" applyFont="1" applyFill="1"/>
    <xf numFmtId="0" fontId="6" fillId="2" borderId="0" xfId="0" applyFont="1" applyFill="1" applyAlignment="1">
      <alignment horizontal="right"/>
    </xf>
    <xf numFmtId="10" fontId="5" fillId="0" borderId="0" xfId="4" applyNumberFormat="1" applyFont="1" applyAlignment="1">
      <alignment horizontal="right"/>
    </xf>
    <xf numFmtId="167" fontId="6" fillId="0" borderId="0" xfId="0" applyNumberFormat="1" applyFont="1"/>
    <xf numFmtId="0" fontId="5" fillId="0" borderId="0" xfId="2" applyFont="1" applyAlignment="1">
      <alignment horizontal="right"/>
    </xf>
    <xf numFmtId="0" fontId="6" fillId="0" borderId="0" xfId="0" applyFont="1" applyAlignment="1">
      <alignment horizontal="right"/>
    </xf>
    <xf numFmtId="2" fontId="6" fillId="0" borderId="0" xfId="0" applyNumberFormat="1" applyFont="1" applyAlignment="1">
      <alignment horizontal="right"/>
    </xf>
    <xf numFmtId="2" fontId="6" fillId="0" borderId="0" xfId="3" applyNumberFormat="1" applyFont="1" applyAlignment="1">
      <alignment horizontal="right"/>
    </xf>
    <xf numFmtId="0" fontId="6" fillId="0" borderId="0" xfId="3" applyFont="1" applyAlignment="1">
      <alignment horizontal="right"/>
    </xf>
    <xf numFmtId="44" fontId="6" fillId="0" borderId="0" xfId="0" applyNumberFormat="1" applyFont="1" applyAlignment="1">
      <alignment horizontal="right"/>
    </xf>
    <xf numFmtId="169" fontId="6" fillId="0" borderId="0" xfId="0" applyNumberFormat="1" applyFont="1"/>
    <xf numFmtId="170" fontId="6" fillId="0" borderId="0" xfId="0" applyNumberFormat="1" applyFont="1"/>
    <xf numFmtId="0" fontId="5" fillId="0" borderId="0" xfId="0" applyFont="1" applyAlignment="1">
      <alignment horizontal="right"/>
    </xf>
    <xf numFmtId="9" fontId="6" fillId="0" borderId="0" xfId="4" applyFont="1" applyFill="1"/>
    <xf numFmtId="166" fontId="5" fillId="2" borderId="0" xfId="7" applyNumberFormat="1" applyFont="1" applyFill="1" applyAlignment="1">
      <alignment horizontal="center"/>
    </xf>
    <xf numFmtId="42" fontId="9" fillId="2" borderId="0" xfId="1" applyNumberFormat="1" applyFont="1" applyFill="1" applyBorder="1"/>
    <xf numFmtId="42" fontId="6" fillId="2" borderId="0" xfId="1" applyNumberFormat="1" applyFont="1" applyFill="1" applyBorder="1"/>
    <xf numFmtId="0" fontId="6" fillId="0" borderId="0" xfId="4" applyNumberFormat="1" applyFont="1" applyAlignment="1">
      <alignment horizontal="right"/>
    </xf>
    <xf numFmtId="5" fontId="6" fillId="0" borderId="9" xfId="0" applyNumberFormat="1" applyFont="1" applyBorder="1"/>
    <xf numFmtId="42" fontId="6" fillId="0" borderId="3" xfId="5" applyNumberFormat="1" applyFont="1" applyFill="1" applyBorder="1"/>
    <xf numFmtId="0" fontId="5" fillId="0" borderId="8" xfId="0" applyFont="1" applyBorder="1" applyAlignment="1">
      <alignment horizontal="right" indent="1"/>
    </xf>
    <xf numFmtId="169" fontId="6" fillId="0" borderId="7" xfId="1" applyNumberFormat="1" applyFont="1" applyFill="1" applyBorder="1"/>
    <xf numFmtId="168" fontId="6" fillId="2" borderId="3" xfId="0" applyNumberFormat="1" applyFont="1" applyFill="1" applyBorder="1"/>
    <xf numFmtId="0" fontId="6" fillId="2" borderId="3" xfId="0" applyFont="1" applyFill="1" applyBorder="1" applyAlignment="1">
      <alignment horizontal="center"/>
    </xf>
    <xf numFmtId="0" fontId="6" fillId="2" borderId="3" xfId="0" applyFont="1" applyFill="1" applyBorder="1" applyAlignment="1">
      <alignment horizontal="left"/>
    </xf>
    <xf numFmtId="0" fontId="6" fillId="0" borderId="3" xfId="0" applyFont="1" applyBorder="1" applyAlignment="1">
      <alignment horizontal="left"/>
    </xf>
    <xf numFmtId="0" fontId="6" fillId="0" borderId="3" xfId="0" applyFont="1" applyBorder="1"/>
    <xf numFmtId="0" fontId="6" fillId="0" borderId="6" xfId="0" applyFont="1" applyBorder="1" applyAlignment="1">
      <alignment horizontal="right"/>
    </xf>
    <xf numFmtId="0" fontId="6" fillId="0" borderId="3" xfId="0" applyFont="1" applyBorder="1" applyAlignment="1">
      <alignment horizontal="right"/>
    </xf>
    <xf numFmtId="169" fontId="6" fillId="2" borderId="3" xfId="0" applyNumberFormat="1" applyFont="1" applyFill="1" applyBorder="1"/>
    <xf numFmtId="2" fontId="5" fillId="0" borderId="0" xfId="0" applyNumberFormat="1" applyFont="1" applyAlignment="1">
      <alignment horizontal="center"/>
    </xf>
    <xf numFmtId="166" fontId="6" fillId="0" borderId="3" xfId="5" applyNumberFormat="1" applyFont="1" applyFill="1" applyBorder="1"/>
    <xf numFmtId="168" fontId="5" fillId="2" borderId="0" xfId="0" applyNumberFormat="1" applyFont="1" applyFill="1" applyAlignment="1">
      <alignment horizontal="right"/>
    </xf>
    <xf numFmtId="0" fontId="6" fillId="0" borderId="17" xfId="0" applyFont="1" applyBorder="1" applyAlignment="1">
      <alignment horizontal="center"/>
    </xf>
    <xf numFmtId="0" fontId="5" fillId="0" borderId="1" xfId="0" applyFont="1" applyBorder="1" applyAlignment="1">
      <alignment horizontal="left"/>
    </xf>
    <xf numFmtId="166" fontId="5" fillId="0" borderId="0" xfId="0" applyNumberFormat="1" applyFont="1" applyAlignment="1">
      <alignment horizontal="left"/>
    </xf>
    <xf numFmtId="0" fontId="6" fillId="0" borderId="17" xfId="0" applyFont="1" applyBorder="1" applyAlignment="1">
      <alignment horizontal="left"/>
    </xf>
    <xf numFmtId="0" fontId="10" fillId="2" borderId="3" xfId="0" applyFont="1" applyFill="1" applyBorder="1" applyAlignment="1">
      <alignment horizontal="left" indent="1"/>
    </xf>
    <xf numFmtId="0" fontId="5" fillId="0" borderId="7" xfId="0" applyFont="1" applyBorder="1" applyAlignment="1">
      <alignment horizontal="center"/>
    </xf>
    <xf numFmtId="165" fontId="6" fillId="2" borderId="3" xfId="1" applyNumberFormat="1" applyFont="1" applyFill="1" applyBorder="1"/>
    <xf numFmtId="0" fontId="5" fillId="0" borderId="0" xfId="3" applyFont="1"/>
    <xf numFmtId="164" fontId="5" fillId="0" borderId="0" xfId="3" applyNumberFormat="1" applyFont="1"/>
    <xf numFmtId="0" fontId="5" fillId="0" borderId="0" xfId="3" applyFont="1" applyAlignment="1">
      <alignment horizontal="center"/>
    </xf>
    <xf numFmtId="0" fontId="5" fillId="0" borderId="1" xfId="3" applyFont="1" applyBorder="1" applyAlignment="1">
      <alignment horizontal="center"/>
    </xf>
    <xf numFmtId="0" fontId="5" fillId="0" borderId="0" xfId="3" applyFont="1" applyAlignment="1">
      <alignment horizontal="right"/>
    </xf>
    <xf numFmtId="166" fontId="5" fillId="2" borderId="0" xfId="9" applyNumberFormat="1" applyFont="1" applyFill="1" applyAlignment="1">
      <alignment horizontal="center"/>
    </xf>
    <xf numFmtId="0" fontId="5" fillId="0" borderId="0" xfId="3" applyFont="1" applyAlignment="1">
      <alignment vertical="center"/>
    </xf>
    <xf numFmtId="0" fontId="6" fillId="0" borderId="0" xfId="3" applyFont="1" applyAlignment="1">
      <alignment vertical="center"/>
    </xf>
    <xf numFmtId="0" fontId="5" fillId="0" borderId="6" xfId="3" applyFont="1" applyBorder="1" applyAlignment="1">
      <alignment horizontal="right" indent="1"/>
    </xf>
    <xf numFmtId="0" fontId="5" fillId="0" borderId="6" xfId="3" applyFont="1" applyBorder="1"/>
    <xf numFmtId="0" fontId="5" fillId="0" borderId="3" xfId="3" applyFont="1" applyBorder="1" applyAlignment="1">
      <alignment horizontal="center" wrapText="1"/>
    </xf>
    <xf numFmtId="0" fontId="5" fillId="0" borderId="3" xfId="3" applyFont="1" applyBorder="1" applyAlignment="1">
      <alignment horizontal="center"/>
    </xf>
    <xf numFmtId="0" fontId="5" fillId="0" borderId="6" xfId="3" applyFont="1" applyBorder="1" applyAlignment="1">
      <alignment horizontal="center"/>
    </xf>
    <xf numFmtId="2" fontId="6" fillId="0" borderId="0" xfId="3" applyNumberFormat="1" applyFont="1" applyAlignment="1">
      <alignment horizontal="center"/>
    </xf>
    <xf numFmtId="42" fontId="5" fillId="0" borderId="0" xfId="3" applyNumberFormat="1" applyFont="1"/>
    <xf numFmtId="168" fontId="5" fillId="0" borderId="0" xfId="3" applyNumberFormat="1" applyFont="1"/>
    <xf numFmtId="0" fontId="6" fillId="0" borderId="0" xfId="3" applyFont="1" applyAlignment="1">
      <alignment horizontal="left"/>
    </xf>
    <xf numFmtId="42" fontId="6" fillId="0" borderId="0" xfId="3" applyNumberFormat="1" applyFont="1"/>
    <xf numFmtId="0" fontId="6" fillId="0" borderId="6" xfId="3" applyFont="1" applyBorder="1" applyAlignment="1">
      <alignment horizontal="right" indent="1"/>
    </xf>
    <xf numFmtId="168" fontId="6" fillId="0" borderId="0" xfId="3" applyNumberFormat="1" applyFont="1"/>
    <xf numFmtId="0" fontId="7" fillId="0" borderId="0" xfId="3" applyFont="1" applyAlignment="1">
      <alignment horizontal="left" indent="1"/>
    </xf>
    <xf numFmtId="41" fontId="5" fillId="0" borderId="0" xfId="3" applyNumberFormat="1" applyFont="1"/>
    <xf numFmtId="0" fontId="6" fillId="0" borderId="0" xfId="5" applyNumberFormat="1" applyFont="1" applyAlignment="1">
      <alignment horizontal="right"/>
    </xf>
    <xf numFmtId="0" fontId="6" fillId="0" borderId="0" xfId="3" applyFont="1" applyAlignment="1">
      <alignment horizontal="left" indent="2"/>
    </xf>
    <xf numFmtId="42" fontId="5" fillId="0" borderId="0" xfId="3" applyNumberFormat="1" applyFont="1" applyProtection="1">
      <protection locked="0"/>
    </xf>
    <xf numFmtId="41" fontId="5" fillId="0" borderId="0" xfId="3" applyNumberFormat="1" applyFont="1" applyProtection="1">
      <protection locked="0"/>
    </xf>
    <xf numFmtId="168" fontId="6" fillId="2" borderId="0" xfId="3" applyNumberFormat="1" applyFont="1" applyFill="1"/>
    <xf numFmtId="0" fontId="6" fillId="2" borderId="0" xfId="3" applyFont="1" applyFill="1" applyAlignment="1">
      <alignment horizontal="center"/>
    </xf>
    <xf numFmtId="9" fontId="6" fillId="0" borderId="0" xfId="5" applyFont="1" applyFill="1" applyAlignment="1">
      <alignment horizontal="center"/>
    </xf>
    <xf numFmtId="0" fontId="6" fillId="0" borderId="8" xfId="3" applyFont="1" applyBorder="1" applyAlignment="1">
      <alignment horizontal="right"/>
    </xf>
    <xf numFmtId="0" fontId="6" fillId="0" borderId="4" xfId="3" applyFont="1" applyBorder="1"/>
    <xf numFmtId="0" fontId="6" fillId="0" borderId="8" xfId="3" applyFont="1" applyBorder="1" applyAlignment="1">
      <alignment horizontal="right" indent="1"/>
    </xf>
    <xf numFmtId="0" fontId="6" fillId="0" borderId="6" xfId="3" applyFont="1" applyBorder="1"/>
    <xf numFmtId="43" fontId="6" fillId="0" borderId="0" xfId="3" applyNumberFormat="1" applyFont="1"/>
    <xf numFmtId="0" fontId="6" fillId="0" borderId="8" xfId="3" applyFont="1" applyBorder="1"/>
    <xf numFmtId="0" fontId="5" fillId="0" borderId="1" xfId="3" applyFont="1" applyBorder="1" applyAlignment="1">
      <alignment vertical="center"/>
    </xf>
    <xf numFmtId="42" fontId="11" fillId="0" borderId="0" xfId="3" applyNumberFormat="1" applyFont="1"/>
    <xf numFmtId="0" fontId="6" fillId="2" borderId="0" xfId="3" applyFont="1" applyFill="1" applyAlignment="1">
      <alignment horizontal="right"/>
    </xf>
    <xf numFmtId="10" fontId="6" fillId="2" borderId="0" xfId="5" applyNumberFormat="1" applyFont="1" applyFill="1"/>
    <xf numFmtId="9" fontId="6" fillId="0" borderId="0" xfId="5" applyFont="1" applyFill="1"/>
    <xf numFmtId="42" fontId="11" fillId="0" borderId="1" xfId="3" applyNumberFormat="1" applyFont="1" applyBorder="1"/>
    <xf numFmtId="0" fontId="5" fillId="0" borderId="2" xfId="3" applyFont="1" applyBorder="1" applyAlignment="1">
      <alignment vertical="center"/>
    </xf>
    <xf numFmtId="42" fontId="5" fillId="0" borderId="2" xfId="3" applyNumberFormat="1" applyFont="1" applyBorder="1"/>
    <xf numFmtId="0" fontId="5" fillId="0" borderId="0" xfId="3" applyFont="1" applyAlignment="1">
      <alignment horizontal="left" vertical="center"/>
    </xf>
    <xf numFmtId="0" fontId="7" fillId="2" borderId="0" xfId="3" applyFont="1" applyFill="1" applyAlignment="1">
      <alignment horizontal="left" indent="1"/>
    </xf>
    <xf numFmtId="0" fontId="10" fillId="0" borderId="0" xfId="3" applyFont="1" applyAlignment="1">
      <alignment horizontal="left" indent="1"/>
    </xf>
    <xf numFmtId="0" fontId="11" fillId="0" borderId="0" xfId="3" applyFont="1" applyAlignment="1">
      <alignment vertical="center"/>
    </xf>
    <xf numFmtId="0" fontId="10" fillId="2" borderId="0" xfId="3" applyFont="1" applyFill="1" applyAlignment="1">
      <alignment horizontal="left" indent="1"/>
    </xf>
    <xf numFmtId="0" fontId="10" fillId="2" borderId="3" xfId="3" applyFont="1" applyFill="1" applyBorder="1" applyAlignment="1">
      <alignment horizontal="left" indent="1"/>
    </xf>
    <xf numFmtId="0" fontId="8" fillId="0" borderId="0" xfId="3" applyFont="1" applyAlignment="1">
      <alignment horizontal="right" vertical="center"/>
    </xf>
    <xf numFmtId="42" fontId="5" fillId="0" borderId="1" xfId="3" applyNumberFormat="1" applyFont="1" applyBorder="1"/>
    <xf numFmtId="0" fontId="11" fillId="0" borderId="0" xfId="3" applyFont="1"/>
    <xf numFmtId="0" fontId="11" fillId="0" borderId="1" xfId="3" applyFont="1" applyBorder="1" applyAlignment="1">
      <alignment vertical="center"/>
    </xf>
    <xf numFmtId="0" fontId="9" fillId="0" borderId="0" xfId="3" applyFont="1"/>
    <xf numFmtId="0" fontId="11" fillId="3" borderId="2" xfId="3" applyFont="1" applyFill="1" applyBorder="1" applyAlignment="1">
      <alignment vertical="center"/>
    </xf>
    <xf numFmtId="0" fontId="10" fillId="0" borderId="0" xfId="3" applyFont="1" applyAlignment="1">
      <alignment horizontal="left" vertical="center" indent="1"/>
    </xf>
    <xf numFmtId="0" fontId="7" fillId="0" borderId="0" xfId="3" applyFont="1"/>
    <xf numFmtId="44" fontId="6" fillId="0" borderId="0" xfId="3" applyNumberFormat="1" applyFont="1" applyAlignment="1">
      <alignment horizontal="right"/>
    </xf>
    <xf numFmtId="10" fontId="5" fillId="0" borderId="0" xfId="5" applyNumberFormat="1" applyFont="1" applyAlignment="1">
      <alignment horizontal="right"/>
    </xf>
    <xf numFmtId="170" fontId="6" fillId="0" borderId="0" xfId="3" applyNumberFormat="1" applyFont="1"/>
    <xf numFmtId="0" fontId="6" fillId="0" borderId="0" xfId="3" applyFont="1" applyAlignment="1">
      <alignment wrapText="1"/>
    </xf>
    <xf numFmtId="8" fontId="5" fillId="2" borderId="17" xfId="0" applyNumberFormat="1" applyFont="1" applyFill="1" applyBorder="1"/>
    <xf numFmtId="168" fontId="6" fillId="0" borderId="0" xfId="0" applyNumberFormat="1" applyFont="1" applyAlignment="1">
      <alignment horizontal="right"/>
    </xf>
    <xf numFmtId="168" fontId="6" fillId="2" borderId="0" xfId="9" applyNumberFormat="1" applyFont="1" applyFill="1" applyAlignment="1">
      <alignment horizontal="center"/>
    </xf>
    <xf numFmtId="9" fontId="6" fillId="2" borderId="0" xfId="5" applyFont="1" applyFill="1" applyAlignment="1">
      <alignment horizontal="center"/>
    </xf>
    <xf numFmtId="5" fontId="6" fillId="0" borderId="10" xfId="7" applyNumberFormat="1" applyFont="1" applyFill="1" applyBorder="1" applyAlignment="1">
      <alignment vertical="center"/>
    </xf>
    <xf numFmtId="0" fontId="8" fillId="0" borderId="0" xfId="0" applyFont="1" applyAlignment="1">
      <alignment horizontal="right" indent="1"/>
    </xf>
    <xf numFmtId="42" fontId="5" fillId="0" borderId="0" xfId="1" applyNumberFormat="1" applyFont="1" applyFill="1" applyBorder="1" applyProtection="1"/>
    <xf numFmtId="0" fontId="11" fillId="5" borderId="0" xfId="0" applyFont="1" applyFill="1" applyAlignment="1">
      <alignment horizontal="right" vertical="center"/>
    </xf>
    <xf numFmtId="6" fontId="5" fillId="5" borderId="0" xfId="1" applyNumberFormat="1" applyFont="1" applyFill="1" applyBorder="1" applyProtection="1"/>
    <xf numFmtId="42" fontId="5" fillId="5" borderId="0" xfId="1" applyNumberFormat="1" applyFont="1" applyFill="1" applyBorder="1" applyProtection="1"/>
    <xf numFmtId="0" fontId="11" fillId="4" borderId="0" xfId="0" applyFont="1" applyFill="1" applyAlignment="1">
      <alignment horizontal="right" vertical="center"/>
    </xf>
    <xf numFmtId="42" fontId="5" fillId="4" borderId="0" xfId="1" applyNumberFormat="1" applyFont="1" applyFill="1" applyBorder="1" applyProtection="1"/>
    <xf numFmtId="0" fontId="6" fillId="2" borderId="0" xfId="0" applyFont="1" applyFill="1"/>
    <xf numFmtId="9" fontId="5" fillId="2" borderId="0" xfId="5" applyFont="1" applyFill="1" applyBorder="1"/>
    <xf numFmtId="9" fontId="6" fillId="2" borderId="0" xfId="5" applyFont="1" applyFill="1" applyBorder="1"/>
    <xf numFmtId="9" fontId="5" fillId="0" borderId="0" xfId="5" applyFont="1"/>
    <xf numFmtId="10" fontId="5" fillId="0" borderId="0" xfId="5" applyNumberFormat="1" applyFont="1" applyAlignment="1">
      <alignment horizontal="center"/>
    </xf>
    <xf numFmtId="10" fontId="6" fillId="0" borderId="0" xfId="5" applyNumberFormat="1" applyFont="1" applyAlignment="1">
      <alignment horizontal="center"/>
    </xf>
    <xf numFmtId="10" fontId="6" fillId="0" borderId="0" xfId="5" applyNumberFormat="1" applyFont="1" applyFill="1" applyBorder="1"/>
    <xf numFmtId="165" fontId="6" fillId="0" borderId="0" xfId="1" applyNumberFormat="1" applyFont="1" applyFill="1" applyBorder="1"/>
    <xf numFmtId="168" fontId="6" fillId="0" borderId="3" xfId="0" applyNumberFormat="1" applyFont="1" applyBorder="1"/>
    <xf numFmtId="0" fontId="6" fillId="0" borderId="3" xfId="0" applyFont="1" applyBorder="1" applyAlignment="1">
      <alignment horizontal="center"/>
    </xf>
    <xf numFmtId="10" fontId="6" fillId="0" borderId="3" xfId="5" applyNumberFormat="1" applyFont="1" applyFill="1" applyBorder="1" applyAlignment="1">
      <alignment horizontal="center"/>
    </xf>
    <xf numFmtId="10" fontId="6" fillId="2" borderId="3" xfId="5" applyNumberFormat="1" applyFont="1" applyFill="1" applyBorder="1" applyAlignment="1">
      <alignment horizontal="center"/>
    </xf>
    <xf numFmtId="166" fontId="6" fillId="0" borderId="0" xfId="1" applyNumberFormat="1" applyFont="1" applyFill="1"/>
    <xf numFmtId="10" fontId="6" fillId="0" borderId="0" xfId="5" applyNumberFormat="1" applyFont="1" applyFill="1" applyAlignment="1">
      <alignment horizontal="center"/>
    </xf>
    <xf numFmtId="0" fontId="6" fillId="0" borderId="0" xfId="5" applyNumberFormat="1" applyFont="1" applyFill="1" applyAlignment="1">
      <alignment horizontal="right"/>
    </xf>
    <xf numFmtId="10" fontId="6" fillId="0" borderId="0" xfId="5" applyNumberFormat="1" applyFont="1" applyFill="1"/>
    <xf numFmtId="10" fontId="0" fillId="0" borderId="0" xfId="5" applyNumberFormat="1" applyFont="1" applyFill="1"/>
    <xf numFmtId="10" fontId="6" fillId="0" borderId="0" xfId="5" applyNumberFormat="1" applyFont="1"/>
    <xf numFmtId="0" fontId="5" fillId="6" borderId="2" xfId="0" applyFont="1" applyFill="1" applyBorder="1" applyAlignment="1">
      <alignment vertical="center"/>
    </xf>
    <xf numFmtId="42" fontId="5" fillId="6" borderId="2" xfId="0" applyNumberFormat="1" applyFont="1" applyFill="1" applyBorder="1"/>
    <xf numFmtId="0" fontId="6" fillId="5" borderId="0" xfId="0" applyFont="1" applyFill="1" applyAlignment="1">
      <alignment horizontal="left"/>
    </xf>
    <xf numFmtId="171" fontId="6" fillId="0" borderId="0" xfId="0" applyNumberFormat="1" applyFont="1"/>
    <xf numFmtId="7" fontId="6" fillId="0" borderId="0" xfId="0" applyNumberFormat="1" applyFont="1"/>
    <xf numFmtId="0" fontId="0" fillId="0" borderId="0" xfId="0" applyAlignment="1">
      <alignment vertical="center"/>
    </xf>
    <xf numFmtId="166" fontId="5" fillId="2" borderId="1" xfId="7"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16" fillId="0" borderId="0" xfId="8" applyFont="1" applyAlignment="1">
      <alignment vertical="center"/>
    </xf>
    <xf numFmtId="168" fontId="5" fillId="2" borderId="0" xfId="0" applyNumberFormat="1" applyFont="1" applyFill="1" applyAlignment="1">
      <alignment horizontal="right" vertical="center"/>
    </xf>
    <xf numFmtId="0" fontId="5" fillId="0" borderId="0" xfId="0" applyFont="1" applyAlignment="1">
      <alignment horizontal="center" vertical="center"/>
    </xf>
    <xf numFmtId="0" fontId="6" fillId="0" borderId="0" xfId="0" applyFont="1" applyAlignment="1">
      <alignment horizontal="right" vertical="center"/>
    </xf>
    <xf numFmtId="0" fontId="6" fillId="2" borderId="0" xfId="0" applyFont="1" applyFill="1" applyAlignment="1">
      <alignment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15" fillId="0" borderId="0" xfId="8" applyFont="1" applyBorder="1" applyAlignment="1">
      <alignment horizontal="right" vertical="center"/>
    </xf>
    <xf numFmtId="9" fontId="5" fillId="2" borderId="0" xfId="4" applyFont="1" applyFill="1" applyBorder="1" applyAlignment="1">
      <alignment vertical="center"/>
    </xf>
    <xf numFmtId="166" fontId="5" fillId="0" borderId="0" xfId="0" applyNumberFormat="1" applyFont="1" applyAlignment="1">
      <alignment horizontal="left" vertical="center"/>
    </xf>
    <xf numFmtId="0" fontId="6" fillId="2" borderId="0" xfId="0" applyFont="1" applyFill="1" applyAlignment="1">
      <alignment horizontal="center" vertical="center"/>
    </xf>
    <xf numFmtId="168" fontId="5" fillId="0" borderId="0" xfId="0" applyNumberFormat="1" applyFont="1" applyAlignment="1">
      <alignment vertical="center"/>
    </xf>
    <xf numFmtId="0" fontId="5" fillId="0" borderId="6" xfId="0" applyFont="1" applyBorder="1" applyAlignment="1">
      <alignment horizontal="right" vertical="center"/>
    </xf>
    <xf numFmtId="167" fontId="6" fillId="2" borderId="0" xfId="0" applyNumberFormat="1" applyFont="1" applyFill="1" applyAlignment="1">
      <alignment vertical="center"/>
    </xf>
    <xf numFmtId="167" fontId="6" fillId="0" borderId="0" xfId="0" applyNumberFormat="1" applyFont="1" applyAlignment="1">
      <alignment vertical="center"/>
    </xf>
    <xf numFmtId="167" fontId="6" fillId="2" borderId="7" xfId="0" applyNumberFormat="1" applyFont="1" applyFill="1" applyBorder="1" applyAlignment="1">
      <alignment vertical="center"/>
    </xf>
    <xf numFmtId="8" fontId="5" fillId="2" borderId="17" xfId="0" applyNumberFormat="1" applyFont="1" applyFill="1" applyBorder="1" applyAlignment="1">
      <alignment vertical="center"/>
    </xf>
    <xf numFmtId="0" fontId="6" fillId="0" borderId="17" xfId="0" applyFont="1" applyBorder="1" applyAlignment="1">
      <alignment horizontal="center" vertical="center"/>
    </xf>
    <xf numFmtId="0" fontId="6" fillId="0" borderId="17" xfId="0" applyFont="1" applyBorder="1" applyAlignment="1">
      <alignment horizontal="left" vertical="center"/>
    </xf>
    <xf numFmtId="9" fontId="6" fillId="2" borderId="0" xfId="4" applyFont="1" applyFill="1" applyBorder="1" applyAlignment="1">
      <alignment vertical="center"/>
    </xf>
    <xf numFmtId="0" fontId="5" fillId="0" borderId="6" xfId="0" applyFont="1" applyBorder="1" applyAlignment="1">
      <alignment vertical="center"/>
    </xf>
    <xf numFmtId="0" fontId="5" fillId="0" borderId="7" xfId="2" applyFont="1" applyBorder="1" applyAlignment="1">
      <alignment horizontal="center" vertical="center"/>
    </xf>
    <xf numFmtId="0" fontId="5" fillId="0" borderId="0" xfId="0" applyFont="1" applyAlignment="1">
      <alignment horizontal="righ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xf>
    <xf numFmtId="2" fontId="6" fillId="0" borderId="0" xfId="0" applyNumberFormat="1" applyFont="1" applyAlignment="1">
      <alignment horizontal="center" vertical="center"/>
    </xf>
    <xf numFmtId="9" fontId="6" fillId="2" borderId="7" xfId="5" applyFont="1" applyFill="1" applyBorder="1" applyAlignment="1">
      <alignment vertical="center"/>
    </xf>
    <xf numFmtId="9" fontId="5" fillId="0" borderId="0" xfId="4" applyFont="1" applyAlignment="1">
      <alignment vertical="center"/>
    </xf>
    <xf numFmtId="42" fontId="5" fillId="0" borderId="0" xfId="0" applyNumberFormat="1" applyFont="1" applyAlignment="1">
      <alignment vertical="center"/>
    </xf>
    <xf numFmtId="0" fontId="5" fillId="0" borderId="7" xfId="0" applyFont="1" applyBorder="1" applyAlignment="1">
      <alignment vertical="center"/>
    </xf>
    <xf numFmtId="10" fontId="5" fillId="0" borderId="0" xfId="4" applyNumberFormat="1" applyFont="1" applyAlignment="1">
      <alignment horizontal="center" vertical="center"/>
    </xf>
    <xf numFmtId="0" fontId="6" fillId="0" borderId="0" xfId="0" applyFont="1" applyAlignment="1">
      <alignment horizontal="left" vertical="center"/>
    </xf>
    <xf numFmtId="42" fontId="6" fillId="0" borderId="0" xfId="1" applyNumberFormat="1" applyFont="1" applyFill="1" applyAlignment="1">
      <alignment vertical="center"/>
    </xf>
    <xf numFmtId="42" fontId="6" fillId="0" borderId="0" xfId="0" applyNumberFormat="1" applyFont="1" applyAlignment="1">
      <alignment vertical="center"/>
    </xf>
    <xf numFmtId="0" fontId="6" fillId="0" borderId="6" xfId="0" applyFont="1" applyBorder="1" applyAlignment="1">
      <alignment horizontal="right" vertical="center"/>
    </xf>
    <xf numFmtId="2" fontId="5" fillId="0" borderId="0" xfId="0" applyNumberFormat="1" applyFont="1" applyAlignment="1">
      <alignment horizontal="center" vertical="center"/>
    </xf>
    <xf numFmtId="0" fontId="5" fillId="0" borderId="0" xfId="2" applyFont="1" applyAlignment="1">
      <alignment horizontal="right" vertical="center"/>
    </xf>
    <xf numFmtId="0" fontId="5" fillId="0" borderId="0" xfId="2" applyFont="1" applyAlignment="1">
      <alignment vertical="center"/>
    </xf>
    <xf numFmtId="168" fontId="6" fillId="0" borderId="0" xfId="0" applyNumberFormat="1" applyFont="1" applyAlignment="1">
      <alignment vertical="center"/>
    </xf>
    <xf numFmtId="0" fontId="6" fillId="0" borderId="0" xfId="0" applyFont="1" applyAlignment="1">
      <alignment horizontal="center" vertical="center"/>
    </xf>
    <xf numFmtId="10" fontId="6" fillId="0" borderId="0" xfId="4" applyNumberFormat="1" applyFont="1" applyAlignment="1">
      <alignment horizontal="center" vertical="center"/>
    </xf>
    <xf numFmtId="0" fontId="7" fillId="0" borderId="0" xfId="0" applyFont="1" applyAlignment="1">
      <alignment horizontal="left" vertical="center"/>
    </xf>
    <xf numFmtId="41" fontId="5" fillId="0" borderId="0" xfId="0" applyNumberFormat="1" applyFont="1" applyAlignment="1">
      <alignment vertical="center"/>
    </xf>
    <xf numFmtId="10" fontId="6" fillId="2" borderId="0" xfId="5" applyNumberFormat="1" applyFont="1" applyFill="1" applyBorder="1" applyAlignment="1">
      <alignment vertical="center"/>
    </xf>
    <xf numFmtId="5" fontId="6" fillId="0" borderId="7" xfId="0" applyNumberFormat="1" applyFont="1" applyBorder="1" applyAlignment="1">
      <alignment vertical="center"/>
    </xf>
    <xf numFmtId="2" fontId="6" fillId="0" borderId="0" xfId="0" applyNumberFormat="1" applyFont="1" applyAlignment="1">
      <alignment horizontal="right" vertical="center"/>
    </xf>
    <xf numFmtId="43" fontId="6" fillId="0" borderId="0" xfId="0" applyNumberFormat="1" applyFont="1" applyAlignment="1">
      <alignment vertical="center"/>
    </xf>
    <xf numFmtId="0" fontId="6" fillId="0" borderId="0" xfId="4" applyNumberFormat="1" applyFont="1" applyAlignment="1">
      <alignment horizontal="right" vertical="center"/>
    </xf>
    <xf numFmtId="2" fontId="6" fillId="0" borderId="0" xfId="3" applyNumberFormat="1" applyFont="1" applyAlignment="1">
      <alignment horizontal="right" vertical="center"/>
    </xf>
    <xf numFmtId="165" fontId="6" fillId="2" borderId="0" xfId="1" applyNumberFormat="1" applyFont="1" applyFill="1" applyBorder="1" applyAlignment="1">
      <alignment vertical="center"/>
    </xf>
    <xf numFmtId="0" fontId="6" fillId="0" borderId="0" xfId="3" applyFont="1" applyAlignment="1">
      <alignment horizontal="right" vertical="center"/>
    </xf>
    <xf numFmtId="42" fontId="5" fillId="0" borderId="0" xfId="0" applyNumberFormat="1" applyFont="1" applyAlignment="1" applyProtection="1">
      <alignment vertical="center"/>
      <protection locked="0"/>
    </xf>
    <xf numFmtId="41" fontId="5" fillId="0" borderId="0" xfId="0" applyNumberFormat="1" applyFont="1" applyAlignment="1" applyProtection="1">
      <alignment vertical="center"/>
      <protection locked="0"/>
    </xf>
    <xf numFmtId="0" fontId="5" fillId="0" borderId="8" xfId="0" applyFont="1" applyBorder="1" applyAlignment="1">
      <alignment horizontal="right" vertical="center"/>
    </xf>
    <xf numFmtId="166" fontId="6" fillId="0" borderId="3" xfId="4" applyNumberFormat="1" applyFont="1" applyFill="1" applyBorder="1" applyAlignment="1">
      <alignment vertical="center"/>
    </xf>
    <xf numFmtId="0" fontId="6" fillId="0" borderId="9" xfId="0" applyFont="1" applyBorder="1" applyAlignment="1">
      <alignment vertical="center"/>
    </xf>
    <xf numFmtId="168"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10" fontId="6" fillId="2" borderId="3" xfId="4" applyNumberFormat="1" applyFont="1" applyFill="1" applyBorder="1" applyAlignment="1">
      <alignment horizontal="center" vertical="center"/>
    </xf>
    <xf numFmtId="0" fontId="6" fillId="2" borderId="3" xfId="0" applyFont="1" applyFill="1" applyBorder="1" applyAlignment="1">
      <alignment horizontal="left" vertical="center"/>
    </xf>
    <xf numFmtId="0" fontId="6" fillId="5" borderId="0" xfId="0" applyFont="1" applyFill="1" applyAlignment="1">
      <alignment horizontal="left" vertical="center"/>
    </xf>
    <xf numFmtId="2" fontId="5" fillId="2" borderId="0" xfId="4" applyNumberFormat="1" applyFont="1" applyFill="1" applyBorder="1" applyAlignment="1">
      <alignment horizontal="center" vertical="center"/>
    </xf>
    <xf numFmtId="0" fontId="6" fillId="0" borderId="7" xfId="0" applyFont="1" applyBorder="1" applyAlignment="1">
      <alignment vertical="center"/>
    </xf>
    <xf numFmtId="10" fontId="6" fillId="0" borderId="0" xfId="4" applyNumberFormat="1" applyFont="1" applyFill="1" applyBorder="1" applyAlignment="1">
      <alignment horizontal="center" vertical="center"/>
    </xf>
    <xf numFmtId="168" fontId="6" fillId="0" borderId="7" xfId="1" applyNumberFormat="1" applyFont="1" applyFill="1" applyBorder="1" applyAlignment="1">
      <alignment vertical="center"/>
    </xf>
    <xf numFmtId="166" fontId="6" fillId="0" borderId="3" xfId="5" applyNumberFormat="1" applyFont="1" applyFill="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41" fontId="9" fillId="0" borderId="0" xfId="1" applyNumberFormat="1" applyFont="1" applyFill="1" applyBorder="1" applyAlignment="1">
      <alignment vertical="center"/>
    </xf>
    <xf numFmtId="10" fontId="6" fillId="0" borderId="0" xfId="4" applyNumberFormat="1" applyFont="1" applyAlignment="1">
      <alignment vertical="center"/>
    </xf>
    <xf numFmtId="10" fontId="6" fillId="0" borderId="0" xfId="4" applyNumberFormat="1" applyFont="1" applyFill="1" applyAlignment="1">
      <alignment horizontal="center" vertical="center"/>
    </xf>
    <xf numFmtId="42" fontId="6" fillId="0" borderId="3" xfId="5" applyNumberFormat="1" applyFont="1" applyFill="1" applyBorder="1" applyAlignment="1">
      <alignment vertical="center"/>
    </xf>
    <xf numFmtId="5" fontId="6" fillId="0" borderId="9" xfId="0" applyNumberFormat="1" applyFont="1" applyBorder="1" applyAlignment="1">
      <alignment vertical="center"/>
    </xf>
    <xf numFmtId="0" fontId="6" fillId="0" borderId="3" xfId="0" applyFont="1" applyBorder="1" applyAlignment="1">
      <alignment vertical="center"/>
    </xf>
    <xf numFmtId="10" fontId="6" fillId="0" borderId="0" xfId="4" applyNumberFormat="1" applyFont="1" applyFill="1" applyAlignment="1">
      <alignment vertical="center"/>
    </xf>
    <xf numFmtId="0" fontId="6" fillId="0" borderId="4" xfId="0" applyFont="1" applyBorder="1" applyAlignment="1">
      <alignment vertical="center"/>
    </xf>
    <xf numFmtId="169" fontId="6" fillId="0" borderId="7" xfId="1" applyNumberFormat="1" applyFont="1" applyFill="1" applyBorder="1" applyAlignment="1">
      <alignment vertical="center"/>
    </xf>
    <xf numFmtId="41" fontId="6" fillId="2" borderId="0" xfId="1" applyNumberFormat="1" applyFont="1" applyFill="1" applyBorder="1" applyAlignment="1">
      <alignment vertical="center"/>
    </xf>
    <xf numFmtId="0" fontId="6" fillId="0" borderId="3" xfId="0" applyFont="1" applyBorder="1" applyAlignment="1">
      <alignment horizontal="right" vertical="center"/>
    </xf>
    <xf numFmtId="169" fontId="6" fillId="2" borderId="3" xfId="0" applyNumberFormat="1" applyFont="1" applyFill="1" applyBorder="1" applyAlignment="1">
      <alignment vertical="center"/>
    </xf>
    <xf numFmtId="42" fontId="5" fillId="0" borderId="1" xfId="1" applyNumberFormat="1" applyFont="1" applyBorder="1" applyAlignment="1" applyProtection="1">
      <alignment vertical="center"/>
    </xf>
    <xf numFmtId="164" fontId="5" fillId="0" borderId="0" xfId="1" applyNumberFormat="1" applyFont="1" applyBorder="1" applyAlignment="1" applyProtection="1">
      <alignment vertical="center"/>
    </xf>
    <xf numFmtId="42" fontId="6" fillId="0" borderId="0" xfId="1" applyNumberFormat="1" applyFont="1" applyAlignment="1">
      <alignment vertical="center"/>
    </xf>
    <xf numFmtId="0" fontId="10" fillId="0" borderId="0" xfId="0" applyFont="1" applyAlignment="1">
      <alignment horizontal="left" vertical="center"/>
    </xf>
    <xf numFmtId="42" fontId="11" fillId="0" borderId="0" xfId="0" applyNumberFormat="1" applyFont="1" applyAlignment="1">
      <alignment vertical="center"/>
    </xf>
    <xf numFmtId="164" fontId="5" fillId="0" borderId="0" xfId="0" applyNumberFormat="1" applyFont="1" applyAlignment="1">
      <alignment vertical="center"/>
    </xf>
    <xf numFmtId="0" fontId="6" fillId="2" borderId="0" xfId="0" applyFont="1" applyFill="1" applyAlignment="1">
      <alignment horizontal="right" vertical="center"/>
    </xf>
    <xf numFmtId="10" fontId="6" fillId="2" borderId="0" xfId="4" applyNumberFormat="1" applyFont="1" applyFill="1" applyAlignment="1">
      <alignment vertical="center"/>
    </xf>
    <xf numFmtId="42" fontId="11" fillId="0" borderId="1" xfId="1" applyNumberFormat="1" applyFont="1" applyBorder="1" applyAlignment="1" applyProtection="1">
      <alignment vertical="center"/>
    </xf>
    <xf numFmtId="42" fontId="11" fillId="0" borderId="1" xfId="0" applyNumberFormat="1" applyFont="1" applyBorder="1" applyAlignment="1">
      <alignment vertical="center"/>
    </xf>
    <xf numFmtId="42" fontId="5" fillId="0" borderId="2" xfId="1" applyNumberFormat="1" applyFont="1" applyBorder="1" applyAlignment="1" applyProtection="1">
      <alignment vertical="center"/>
    </xf>
    <xf numFmtId="42" fontId="5" fillId="0" borderId="2" xfId="0" applyNumberFormat="1" applyFont="1" applyBorder="1" applyAlignment="1">
      <alignment vertical="center"/>
    </xf>
    <xf numFmtId="42" fontId="5" fillId="0" borderId="0" xfId="1" applyNumberFormat="1" applyFont="1" applyFill="1" applyBorder="1" applyAlignment="1">
      <alignment vertical="center"/>
    </xf>
    <xf numFmtId="42" fontId="5" fillId="0" borderId="0" xfId="1" applyNumberFormat="1" applyFont="1" applyBorder="1" applyAlignment="1">
      <alignment vertical="center"/>
    </xf>
    <xf numFmtId="164" fontId="5" fillId="0" borderId="0" xfId="1" applyNumberFormat="1" applyFont="1" applyBorder="1" applyAlignment="1">
      <alignment vertical="center"/>
    </xf>
    <xf numFmtId="0" fontId="7" fillId="2" borderId="0" xfId="0" applyFont="1" applyFill="1" applyAlignment="1">
      <alignment horizontal="left" vertical="center"/>
    </xf>
    <xf numFmtId="42" fontId="6" fillId="2" borderId="0" xfId="0" applyNumberFormat="1" applyFont="1" applyFill="1" applyAlignment="1">
      <alignment vertical="center"/>
    </xf>
    <xf numFmtId="42" fontId="6" fillId="0" borderId="0" xfId="1" applyNumberFormat="1" applyFont="1" applyFill="1" applyBorder="1" applyAlignment="1">
      <alignment vertical="center"/>
    </xf>
    <xf numFmtId="42" fontId="5" fillId="0" borderId="1" xfId="1" applyNumberFormat="1" applyFont="1" applyFill="1" applyBorder="1" applyAlignment="1" applyProtection="1">
      <alignment vertical="center"/>
    </xf>
    <xf numFmtId="42" fontId="9" fillId="0" borderId="0" xfId="1" applyNumberFormat="1" applyFont="1" applyFill="1" applyAlignment="1">
      <alignment vertical="center"/>
    </xf>
    <xf numFmtId="42" fontId="9" fillId="0" borderId="0" xfId="1" applyNumberFormat="1" applyFont="1" applyFill="1" applyBorder="1" applyAlignment="1">
      <alignment vertical="center"/>
    </xf>
    <xf numFmtId="42" fontId="8" fillId="0" borderId="1" xfId="1" applyNumberFormat="1" applyFont="1" applyFill="1" applyBorder="1" applyAlignment="1">
      <alignment vertical="center"/>
    </xf>
    <xf numFmtId="42" fontId="5" fillId="0" borderId="1" xfId="0" applyNumberFormat="1" applyFont="1" applyBorder="1" applyAlignment="1">
      <alignment vertical="center"/>
    </xf>
    <xf numFmtId="42" fontId="5" fillId="0" borderId="0" xfId="1" applyNumberFormat="1" applyFont="1" applyBorder="1" applyAlignment="1" applyProtection="1">
      <alignment vertical="center"/>
    </xf>
    <xf numFmtId="42" fontId="5" fillId="0" borderId="0" xfId="1" applyNumberFormat="1" applyFont="1" applyFill="1" applyBorder="1" applyAlignment="1" applyProtection="1">
      <alignment vertical="center"/>
    </xf>
    <xf numFmtId="6" fontId="5" fillId="5" borderId="0" xfId="1" applyNumberFormat="1" applyFont="1" applyFill="1" applyBorder="1" applyAlignment="1" applyProtection="1">
      <alignment vertical="center"/>
    </xf>
    <xf numFmtId="42" fontId="5" fillId="5" borderId="0" xfId="1" applyNumberFormat="1" applyFont="1" applyFill="1" applyBorder="1" applyAlignment="1" applyProtection="1">
      <alignment vertical="center"/>
    </xf>
    <xf numFmtId="42" fontId="5" fillId="4" borderId="0" xfId="1" applyNumberFormat="1" applyFont="1" applyFill="1" applyBorder="1" applyAlignment="1" applyProtection="1">
      <alignment vertical="center"/>
    </xf>
    <xf numFmtId="0" fontId="9" fillId="0" borderId="0" xfId="0" applyFont="1" applyAlignment="1">
      <alignment vertical="center"/>
    </xf>
    <xf numFmtId="42" fontId="9" fillId="0" borderId="0" xfId="1" applyNumberFormat="1" applyFont="1" applyAlignment="1">
      <alignment vertical="center"/>
    </xf>
    <xf numFmtId="42" fontId="9" fillId="0" borderId="0" xfId="0" applyNumberFormat="1" applyFont="1" applyAlignment="1">
      <alignment vertical="center"/>
    </xf>
    <xf numFmtId="42" fontId="11" fillId="3" borderId="2" xfId="1" applyNumberFormat="1" applyFont="1" applyFill="1" applyBorder="1" applyAlignment="1" applyProtection="1">
      <alignment vertical="center"/>
    </xf>
    <xf numFmtId="42" fontId="5" fillId="3" borderId="2" xfId="1" applyNumberFormat="1" applyFont="1" applyFill="1" applyBorder="1" applyAlignment="1" applyProtection="1">
      <alignment vertical="center"/>
    </xf>
    <xf numFmtId="42" fontId="11" fillId="0" borderId="0" xfId="1" applyNumberFormat="1" applyFont="1" applyAlignment="1" applyProtection="1">
      <alignment vertical="center"/>
    </xf>
    <xf numFmtId="42" fontId="9" fillId="0" borderId="0" xfId="1" applyNumberFormat="1" applyFont="1" applyAlignment="1" applyProtection="1">
      <alignment vertical="center"/>
    </xf>
    <xf numFmtId="42" fontId="9" fillId="0" borderId="0" xfId="1" applyNumberFormat="1" applyFont="1" applyFill="1" applyAlignment="1" applyProtection="1">
      <alignment vertical="center"/>
    </xf>
    <xf numFmtId="42" fontId="6" fillId="0" borderId="0" xfId="1" applyNumberFormat="1" applyFont="1" applyFill="1" applyAlignment="1" applyProtection="1">
      <alignment vertical="center"/>
    </xf>
    <xf numFmtId="0" fontId="7" fillId="0" borderId="0" xfId="0" applyFont="1" applyAlignment="1">
      <alignment vertical="center"/>
    </xf>
    <xf numFmtId="42" fontId="5" fillId="0" borderId="0" xfId="1" applyNumberFormat="1" applyFont="1" applyAlignment="1">
      <alignment vertical="center"/>
    </xf>
    <xf numFmtId="10" fontId="5" fillId="0" borderId="0" xfId="4" applyNumberFormat="1" applyFont="1" applyAlignment="1">
      <alignment horizontal="right" vertical="center"/>
    </xf>
    <xf numFmtId="44" fontId="6" fillId="0" borderId="0" xfId="0" applyNumberFormat="1" applyFont="1" applyAlignment="1">
      <alignment horizontal="right" vertical="center"/>
    </xf>
    <xf numFmtId="169" fontId="6" fillId="0" borderId="0" xfId="0" applyNumberFormat="1" applyFont="1" applyAlignment="1">
      <alignment vertical="center"/>
    </xf>
    <xf numFmtId="0" fontId="5" fillId="4" borderId="2" xfId="0" applyFont="1" applyFill="1" applyBorder="1" applyAlignment="1">
      <alignment vertical="center"/>
    </xf>
    <xf numFmtId="0" fontId="5" fillId="4" borderId="2" xfId="0" applyFont="1" applyFill="1" applyBorder="1" applyAlignment="1">
      <alignment horizontal="center" vertical="center"/>
    </xf>
    <xf numFmtId="0" fontId="5" fillId="5" borderId="0" xfId="0" applyFont="1" applyFill="1" applyAlignment="1">
      <alignment vertical="center"/>
    </xf>
    <xf numFmtId="42" fontId="6" fillId="5" borderId="0" xfId="0" applyNumberFormat="1" applyFont="1" applyFill="1" applyAlignment="1">
      <alignment vertical="center"/>
    </xf>
    <xf numFmtId="42" fontId="5" fillId="5" borderId="0" xfId="0" applyNumberFormat="1" applyFont="1" applyFill="1" applyAlignment="1">
      <alignment vertical="center"/>
    </xf>
    <xf numFmtId="42" fontId="6" fillId="5" borderId="0" xfId="1" applyNumberFormat="1" applyFont="1" applyFill="1" applyAlignment="1">
      <alignment vertical="center"/>
    </xf>
    <xf numFmtId="42" fontId="5" fillId="5" borderId="2" xfId="1" applyNumberFormat="1" applyFont="1" applyFill="1" applyBorder="1" applyAlignment="1" applyProtection="1">
      <alignment vertical="center"/>
    </xf>
    <xf numFmtId="166" fontId="5" fillId="5" borderId="2" xfId="7" applyNumberFormat="1" applyFont="1" applyFill="1" applyBorder="1" applyAlignment="1">
      <alignment vertical="center"/>
    </xf>
    <xf numFmtId="0" fontId="6" fillId="0" borderId="0" xfId="0" applyFont="1" applyAlignment="1">
      <alignment vertical="center" wrapText="1"/>
    </xf>
    <xf numFmtId="0" fontId="12" fillId="0" borderId="4" xfId="3" applyFont="1" applyBorder="1" applyAlignment="1">
      <alignment vertical="center"/>
    </xf>
    <xf numFmtId="0" fontId="6" fillId="0" borderId="0" xfId="3" applyFont="1" applyAlignment="1">
      <alignment horizontal="center" vertical="center"/>
    </xf>
    <xf numFmtId="0" fontId="5" fillId="0" borderId="10" xfId="3" applyFont="1" applyBorder="1" applyAlignment="1">
      <alignment horizontal="left" vertical="center"/>
    </xf>
    <xf numFmtId="166" fontId="5" fillId="0" borderId="16" xfId="7" applyNumberFormat="1" applyFont="1" applyBorder="1" applyAlignment="1">
      <alignment vertical="center"/>
    </xf>
    <xf numFmtId="0" fontId="5" fillId="0" borderId="4" xfId="3" applyFont="1" applyBorder="1" applyAlignment="1">
      <alignment vertic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5" xfId="3" applyFont="1" applyBorder="1" applyAlignment="1">
      <alignment vertical="center"/>
    </xf>
    <xf numFmtId="166" fontId="6" fillId="0" borderId="0" xfId="0" applyNumberFormat="1" applyFont="1" applyAlignment="1">
      <alignment vertical="center"/>
    </xf>
    <xf numFmtId="43" fontId="6" fillId="0" borderId="0" xfId="1" applyFont="1" applyFill="1" applyBorder="1" applyAlignment="1">
      <alignment vertical="center"/>
    </xf>
    <xf numFmtId="0" fontId="17" fillId="0" borderId="0" xfId="0" applyFont="1" applyAlignment="1">
      <alignment vertical="center"/>
    </xf>
    <xf numFmtId="172" fontId="6" fillId="0" borderId="0" xfId="5" applyNumberFormat="1" applyFont="1" applyFill="1" applyAlignment="1">
      <alignment horizontal="right" vertical="center"/>
    </xf>
    <xf numFmtId="0" fontId="8" fillId="0" borderId="0" xfId="0" applyFont="1" applyAlignment="1">
      <alignment horizontal="left" vertical="center" indent="1"/>
    </xf>
    <xf numFmtId="42" fontId="6" fillId="7" borderId="0" xfId="0" applyNumberFormat="1" applyFont="1" applyFill="1" applyAlignment="1">
      <alignment vertical="center"/>
    </xf>
    <xf numFmtId="2" fontId="6" fillId="0" borderId="0" xfId="0" applyNumberFormat="1" applyFont="1" applyAlignment="1">
      <alignment vertical="center"/>
    </xf>
    <xf numFmtId="173" fontId="6" fillId="0" borderId="4" xfId="0" applyNumberFormat="1" applyFont="1" applyBorder="1" applyAlignment="1">
      <alignment vertical="center"/>
    </xf>
    <xf numFmtId="173" fontId="6" fillId="7" borderId="1" xfId="0" applyNumberFormat="1" applyFont="1" applyFill="1" applyBorder="1" applyAlignment="1">
      <alignment vertical="center"/>
    </xf>
    <xf numFmtId="173" fontId="6" fillId="7" borderId="5" xfId="0" applyNumberFormat="1" applyFont="1" applyFill="1" applyBorder="1" applyAlignment="1">
      <alignment vertical="center"/>
    </xf>
    <xf numFmtId="173" fontId="6" fillId="0" borderId="6" xfId="0" applyNumberFormat="1" applyFont="1" applyBorder="1" applyAlignment="1">
      <alignment vertical="center"/>
    </xf>
    <xf numFmtId="173" fontId="6" fillId="0" borderId="0" xfId="0" applyNumberFormat="1" applyFont="1" applyAlignment="1">
      <alignment vertical="center"/>
    </xf>
    <xf numFmtId="173" fontId="6" fillId="7" borderId="0" xfId="0" applyNumberFormat="1" applyFont="1" applyFill="1" applyAlignment="1">
      <alignment vertical="center"/>
    </xf>
    <xf numFmtId="173" fontId="6" fillId="7" borderId="7" xfId="0" applyNumberFormat="1" applyFont="1" applyFill="1" applyBorder="1" applyAlignment="1">
      <alignment vertical="center"/>
    </xf>
    <xf numFmtId="173" fontId="6" fillId="0" borderId="8" xfId="0" applyNumberFormat="1" applyFont="1" applyBorder="1" applyAlignment="1">
      <alignment vertical="center"/>
    </xf>
    <xf numFmtId="173" fontId="6" fillId="0" borderId="3" xfId="0" applyNumberFormat="1" applyFont="1" applyBorder="1" applyAlignment="1">
      <alignment vertical="center"/>
    </xf>
    <xf numFmtId="173" fontId="6" fillId="0" borderId="9" xfId="0" applyNumberFormat="1" applyFont="1" applyBorder="1" applyAlignment="1">
      <alignment vertical="center"/>
    </xf>
    <xf numFmtId="0" fontId="6" fillId="2" borderId="0" xfId="0" applyFont="1" applyFill="1" applyAlignment="1">
      <alignment horizontal="left" vertical="center"/>
    </xf>
    <xf numFmtId="168" fontId="6" fillId="0" borderId="7" xfId="1" applyNumberFormat="1" applyFont="1" applyFill="1" applyBorder="1"/>
    <xf numFmtId="10" fontId="6" fillId="0" borderId="3" xfId="4" applyNumberFormat="1" applyFont="1" applyFill="1" applyBorder="1" applyAlignment="1">
      <alignment horizontal="center" vertical="center"/>
    </xf>
    <xf numFmtId="10" fontId="0" fillId="0" borderId="0" xfId="4" applyNumberFormat="1" applyFont="1" applyFill="1" applyAlignment="1">
      <alignment vertical="center"/>
    </xf>
    <xf numFmtId="0" fontId="6" fillId="2" borderId="0" xfId="0" applyFont="1" applyFill="1" applyAlignment="1">
      <alignment horizontal="left"/>
    </xf>
    <xf numFmtId="166" fontId="6" fillId="2" borderId="10" xfId="0" applyNumberFormat="1" applyFont="1" applyFill="1" applyBorder="1" applyAlignment="1">
      <alignment vertical="center"/>
    </xf>
    <xf numFmtId="10" fontId="6" fillId="2" borderId="10" xfId="4" applyNumberFormat="1" applyFont="1" applyFill="1" applyBorder="1" applyAlignment="1">
      <alignment vertical="center"/>
    </xf>
    <xf numFmtId="0" fontId="6" fillId="2" borderId="10" xfId="0" applyFont="1" applyFill="1" applyBorder="1" applyAlignment="1">
      <alignment horizontal="right" vertical="center"/>
    </xf>
    <xf numFmtId="0" fontId="6" fillId="0" borderId="11" xfId="0" applyFont="1" applyBorder="1" applyAlignment="1">
      <alignment vertical="center"/>
    </xf>
    <xf numFmtId="10" fontId="6" fillId="0" borderId="0" xfId="4" applyNumberFormat="1" applyFont="1" applyFill="1" applyBorder="1" applyAlignment="1">
      <alignment vertical="center"/>
    </xf>
    <xf numFmtId="10" fontId="6" fillId="0" borderId="12" xfId="4" applyNumberFormat="1" applyFont="1" applyBorder="1" applyAlignment="1">
      <alignment vertical="center"/>
    </xf>
    <xf numFmtId="0" fontId="5" fillId="0" borderId="0" xfId="0" applyFont="1" applyAlignment="1">
      <alignment horizontal="center" vertical="center"/>
    </xf>
    <xf numFmtId="0" fontId="7" fillId="0" borderId="0" xfId="0" applyFont="1" applyAlignment="1">
      <alignment horizontal="left" vertical="center" wrapText="1"/>
    </xf>
    <xf numFmtId="6" fontId="8" fillId="2" borderId="13" xfId="0" applyNumberFormat="1" applyFont="1" applyFill="1" applyBorder="1" applyAlignment="1">
      <alignment horizontal="center" vertical="center" wrapText="1"/>
    </xf>
    <xf numFmtId="6" fontId="8" fillId="2" borderId="14" xfId="0" applyNumberFormat="1" applyFont="1" applyFill="1" applyBorder="1" applyAlignment="1">
      <alignment horizontal="center" vertical="center" wrapText="1"/>
    </xf>
    <xf numFmtId="6" fontId="8" fillId="2" borderId="15"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8"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0" fontId="12" fillId="0" borderId="0" xfId="0" applyFont="1" applyAlignment="1">
      <alignment horizontal="center" vertical="center"/>
    </xf>
    <xf numFmtId="0" fontId="5" fillId="2" borderId="0" xfId="0" applyFont="1" applyFill="1" applyAlignment="1">
      <alignment horizontal="left" vertical="center" wrapText="1"/>
    </xf>
    <xf numFmtId="0" fontId="8" fillId="0" borderId="0" xfId="3" applyFont="1" applyAlignment="1">
      <alignment horizontal="right" indent="1"/>
    </xf>
    <xf numFmtId="0" fontId="5" fillId="0" borderId="11" xfId="3" applyFont="1" applyBorder="1" applyAlignment="1">
      <alignment horizontal="left"/>
    </xf>
    <xf numFmtId="0" fontId="5" fillId="0" borderId="2" xfId="3" applyFont="1" applyBorder="1" applyAlignment="1">
      <alignment horizontal="left"/>
    </xf>
    <xf numFmtId="0" fontId="5" fillId="0" borderId="12" xfId="3" applyFont="1" applyBorder="1" applyAlignment="1">
      <alignment horizontal="left"/>
    </xf>
    <xf numFmtId="0" fontId="8" fillId="0" borderId="0" xfId="3" applyFont="1" applyAlignment="1">
      <alignment horizontal="right"/>
    </xf>
    <xf numFmtId="0" fontId="8" fillId="0" borderId="0" xfId="3" applyFont="1" applyAlignment="1">
      <alignment horizontal="right" vertical="center"/>
    </xf>
    <xf numFmtId="0" fontId="5" fillId="0" borderId="11" xfId="3" applyFont="1" applyBorder="1" applyAlignment="1">
      <alignment horizontal="left" vertical="center"/>
    </xf>
    <xf numFmtId="0" fontId="5" fillId="0" borderId="2" xfId="3" applyFont="1" applyBorder="1" applyAlignment="1">
      <alignment horizontal="left" vertical="center"/>
    </xf>
    <xf numFmtId="0" fontId="5" fillId="0" borderId="12" xfId="3" applyFont="1" applyBorder="1" applyAlignment="1">
      <alignment horizontal="left" vertical="center"/>
    </xf>
    <xf numFmtId="0" fontId="5" fillId="0" borderId="0" xfId="0" applyFont="1" applyAlignment="1">
      <alignment horizontal="center"/>
    </xf>
    <xf numFmtId="0" fontId="5" fillId="0" borderId="0" xfId="0" applyFont="1" applyAlignment="1">
      <alignment horizontal="left" vertical="center" wrapText="1"/>
    </xf>
    <xf numFmtId="0" fontId="7" fillId="0" borderId="0" xfId="0" applyFont="1" applyAlignment="1">
      <alignment horizontal="left" wrapText="1" indent="1"/>
    </xf>
    <xf numFmtId="0" fontId="12" fillId="4" borderId="4" xfId="0" applyFont="1" applyFill="1" applyBorder="1" applyAlignment="1">
      <alignment horizontal="center"/>
    </xf>
    <xf numFmtId="0" fontId="12" fillId="4" borderId="1" xfId="0" applyFont="1" applyFill="1" applyBorder="1" applyAlignment="1">
      <alignment horizontal="center"/>
    </xf>
    <xf numFmtId="0" fontId="12" fillId="4" borderId="5" xfId="0" applyFont="1" applyFill="1" applyBorder="1" applyAlignment="1">
      <alignment horizontal="center"/>
    </xf>
    <xf numFmtId="0" fontId="12" fillId="4" borderId="8" xfId="0" applyFont="1" applyFill="1" applyBorder="1" applyAlignment="1">
      <alignment horizontal="center"/>
    </xf>
    <xf numFmtId="0" fontId="12" fillId="4" borderId="3" xfId="0" applyFont="1" applyFill="1" applyBorder="1" applyAlignment="1">
      <alignment horizontal="center"/>
    </xf>
    <xf numFmtId="0" fontId="12" fillId="4" borderId="9" xfId="0" applyFont="1" applyFill="1" applyBorder="1" applyAlignment="1">
      <alignment horizontal="center"/>
    </xf>
    <xf numFmtId="49" fontId="5" fillId="2" borderId="4" xfId="0" applyNumberFormat="1" applyFont="1" applyFill="1" applyBorder="1" applyAlignment="1">
      <alignment horizontal="center" wrapText="1"/>
    </xf>
    <xf numFmtId="49" fontId="5" fillId="2" borderId="1" xfId="0" applyNumberFormat="1" applyFont="1" applyFill="1" applyBorder="1" applyAlignment="1">
      <alignment horizontal="center" wrapText="1"/>
    </xf>
    <xf numFmtId="49" fontId="5" fillId="2" borderId="5" xfId="0" applyNumberFormat="1" applyFont="1" applyFill="1" applyBorder="1" applyAlignment="1">
      <alignment horizontal="center" wrapText="1"/>
    </xf>
    <xf numFmtId="0" fontId="5" fillId="2" borderId="0" xfId="0" applyFont="1" applyFill="1"/>
    <xf numFmtId="6" fontId="8" fillId="2" borderId="13" xfId="3" applyNumberFormat="1" applyFont="1" applyFill="1" applyBorder="1" applyAlignment="1">
      <alignment horizontal="center" vertical="center" wrapText="1"/>
    </xf>
    <xf numFmtId="6" fontId="8" fillId="2" borderId="14" xfId="3" applyNumberFormat="1" applyFont="1" applyFill="1" applyBorder="1" applyAlignment="1">
      <alignment horizontal="center" vertical="center" wrapText="1"/>
    </xf>
    <xf numFmtId="6" fontId="8" fillId="2" borderId="15" xfId="3" applyNumberFormat="1" applyFont="1" applyFill="1" applyBorder="1" applyAlignment="1">
      <alignment horizontal="center" vertical="center" wrapText="1"/>
    </xf>
    <xf numFmtId="0" fontId="7" fillId="0" borderId="0" xfId="3" applyFont="1" applyAlignment="1">
      <alignment horizontal="left" wrapText="1" indent="1"/>
    </xf>
    <xf numFmtId="49" fontId="5" fillId="2" borderId="4" xfId="3" applyNumberFormat="1" applyFont="1" applyFill="1" applyBorder="1" applyAlignment="1">
      <alignment horizontal="center" wrapText="1"/>
    </xf>
    <xf numFmtId="49" fontId="5" fillId="2" borderId="1" xfId="3" applyNumberFormat="1" applyFont="1" applyFill="1" applyBorder="1" applyAlignment="1">
      <alignment horizontal="center" wrapText="1"/>
    </xf>
    <xf numFmtId="49" fontId="5" fillId="2" borderId="5" xfId="3" applyNumberFormat="1" applyFont="1" applyFill="1" applyBorder="1" applyAlignment="1">
      <alignment horizontal="center" wrapText="1"/>
    </xf>
    <xf numFmtId="0" fontId="5" fillId="0" borderId="0" xfId="3" applyFont="1" applyAlignment="1">
      <alignment horizontal="left" vertical="center" wrapText="1"/>
    </xf>
    <xf numFmtId="0" fontId="5" fillId="2" borderId="0" xfId="3" applyFont="1" applyFill="1"/>
    <xf numFmtId="166" fontId="5" fillId="0" borderId="1" xfId="9" applyNumberFormat="1" applyFont="1" applyFill="1" applyBorder="1" applyAlignment="1">
      <alignment horizontal="center"/>
    </xf>
  </cellXfs>
  <cellStyles count="10">
    <cellStyle name="Comma" xfId="1" builtinId="3"/>
    <cellStyle name="Currency" xfId="7" builtinId="4"/>
    <cellStyle name="Currency 2" xfId="9" xr:uid="{00000000-0005-0000-0000-000002000000}"/>
    <cellStyle name="Hyperlink" xfId="8" builtinId="8"/>
    <cellStyle name="Normal" xfId="0" builtinId="0"/>
    <cellStyle name="Normal 2" xfId="3" xr:uid="{00000000-0005-0000-0000-000005000000}"/>
    <cellStyle name="Normal 3" xfId="2" xr:uid="{00000000-0005-0000-0000-000006000000}"/>
    <cellStyle name="Percent" xfId="4" builtinId="5"/>
    <cellStyle name="Percent 2" xfId="5" xr:uid="{00000000-0005-0000-0000-000008000000}"/>
    <cellStyle name="Percent 3" xfId="6" xr:uid="{00000000-0005-0000-0000-000009000000}"/>
  </cellStyles>
  <dxfs count="2">
    <dxf>
      <font>
        <color rgb="FFFF0000"/>
      </font>
    </dxf>
    <dxf>
      <font>
        <color rgb="FFFF0000"/>
      </font>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1631157</xdr:colOff>
      <xdr:row>1</xdr:row>
      <xdr:rowOff>184163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31156" cy="386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107157</xdr:colOff>
      <xdr:row>0</xdr:row>
      <xdr:rowOff>35719</xdr:rowOff>
    </xdr:from>
    <xdr:to>
      <xdr:col>0</xdr:col>
      <xdr:colOff>1893093</xdr:colOff>
      <xdr:row>1</xdr:row>
      <xdr:rowOff>336634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7157" y="35719"/>
          <a:ext cx="1785936" cy="503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1929187</xdr:colOff>
      <xdr:row>0</xdr:row>
      <xdr:rowOff>457200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1929187</xdr:colOff>
      <xdr:row>0</xdr:row>
      <xdr:rowOff>457200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1929187</xdr:colOff>
      <xdr:row>0</xdr:row>
      <xdr:rowOff>457200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1929187</xdr:colOff>
      <xdr:row>0</xdr:row>
      <xdr:rowOff>457200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1929187</xdr:colOff>
      <xdr:row>0</xdr:row>
      <xdr:rowOff>457200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twoCellAnchor editAs="oneCell">
    <xdr:from>
      <xdr:col>0</xdr:col>
      <xdr:colOff>0</xdr:colOff>
      <xdr:row>0</xdr:row>
      <xdr:rowOff>0</xdr:rowOff>
    </xdr:from>
    <xdr:to>
      <xdr:col>0</xdr:col>
      <xdr:colOff>1929187</xdr:colOff>
      <xdr:row>0</xdr:row>
      <xdr:rowOff>457200</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9187" cy="457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rmstrong, Sean C - (sarmstro)" id="{69D614B2-0D7F-4A39-8EC0-354910CE076D}" userId="S::sarmstro@arizona.edu::f4965262-e246-4e81-a395-09334023b204" providerId="AD"/>
  <person displayName="Armstrong, Sean C - (sarmstro)" id="{AE61957F-1341-4D2E-AA7C-67CA7EA29282}" userId="S::sarmstro@email.arizona.edu::f4965262-e246-4e81-a395-09334023b20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U1" dT="2024-04-25T15:33:38.00" personId="{69D614B2-0D7F-4A39-8EC0-354910CE076D}" id="{9E13E7F4-02E5-4BCB-A22B-E82EED017DFF}">
    <text>NIH (DHHS): https://grants.nih.gov/grants/guide/notice-files/NOT-OD-24-057.html
PCORI: https://www.pcori.org/funding-opportunities/applicant-and-awardee-resources/frequently-asked-questions/budgeting-faqs</text>
    <extLst>
      <x:ext xmlns:xltc2="http://schemas.microsoft.com/office/spreadsheetml/2020/threadedcomments2" uri="{F7C98A9C-CBB3-438F-8F68-D28B6AF4A901}">
        <xltc2:checksum>80824302</xltc2:checksum>
        <xltc2:hyperlink startIndex="12" length="67" url="https://grants.nih.gov/grants/guide/notice-files/NOT-OD-24-057.html"/>
        <xltc2:hyperlink startIndex="88" length="117" url="https://www.pcori.org/funding-opportunities/applicant-and-awardee-resources/frequently-asked-questions/budgeting-faqs"/>
      </x:ext>
    </extLst>
  </threadedComment>
  <threadedComment ref="AI2" dT="2022-05-12T15:01:00.28" personId="{AE61957F-1341-4D2E-AA7C-67CA7EA29282}" id="{72C01C76-DCA6-4D2F-938B-5EB7D0D85CD4}">
    <text>Use for 7+ years of experience</text>
  </threadedComment>
  <threadedComment ref="J4" dT="2024-05-02T18:46:22.79" personId="{69D614B2-0D7F-4A39-8EC0-354910CE076D}" id="{70F05435-9501-480A-BFC8-58F212B8CFDD}">
    <text>On-campus research F&amp;A cost calculation only works for:
   * Start dates of 7/1/2024 or later
   * 12-month budget periods</text>
  </threadedComment>
  <threadedComment ref="U4" dT="2023-05-03T18:47:26.16" personId="{69D614B2-0D7F-4A39-8EC0-354910CE076D}" id="{338945F4-E12B-478C-AF07-028B93D2D798}">
    <text>In accordance with the Tucson Minimum Wage Act, the minimum wage will be $15/hour effective January 1, 2025.
https://hr.arizona.edu/news/2023/university-increasing-its-minimum-wage-fy-2024</text>
    <extLst>
      <x:ext xmlns:xltc2="http://schemas.microsoft.com/office/spreadsheetml/2020/threadedcomments2" uri="{F7C98A9C-CBB3-438F-8F68-D28B6AF4A901}">
        <xltc2:checksum>3773351487</xltc2:checksum>
        <xltc2:hyperlink startIndex="109" length="79" url="https://hr.arizona.edu/news/2023/university-increasing-its-minimum-wage-fy-2024"/>
      </x:ext>
    </extLst>
  </threadedComment>
  <threadedComment ref="B88" dT="2024-07-26T20:17:13.12" personId="{69D614B2-0D7F-4A39-8EC0-354910CE076D}" id="{ED793875-772C-40FE-A1D7-EA5522DBF07C}">
    <text>Assumes 420 hours is equivalent to 2.76 summer months [(420/456) * 3]</text>
  </threadedComment>
  <threadedComment ref="J88" dT="2024-07-26T20:11:57.42" personId="{69D614B2-0D7F-4A39-8EC0-354910CE076D}" id="{543A534F-5A1E-4CA9-BB2C-627C9B28C07A}">
    <text>Enter 2.76 [(420/456 * 3] for 420 hours</text>
  </threadedComment>
  <threadedComment ref="O88" dT="2024-07-10T14:11:36.00" personId="{69D614B2-0D7F-4A39-8EC0-354910CE076D}" id="{AA0266EE-9227-4866-A32D-314412587992}">
    <text>Assumes a maximum of 420 (35 hours/week * 12 weeks) summer hours for a GRA</text>
  </threadedComment>
  <threadedComment ref="B94" dT="2024-07-26T20:17:13.12" personId="{69D614B2-0D7F-4A39-8EC0-354910CE076D}" id="{5502FF92-3E82-4A5C-A1A2-5A7FB8B4A6BF}">
    <text>Assumes 420 hours is equivalent to 2.76 summer months [(420/456) * 3]</text>
  </threadedComment>
  <threadedComment ref="J94" dT="2024-07-26T20:11:57.42" personId="{69D614B2-0D7F-4A39-8EC0-354910CE076D}" id="{2D605669-595E-44AD-B03C-4D3DBAB7F942}">
    <text>Enter 2.76 [(420/456 * 3] for 420 hours</text>
  </threadedComment>
  <threadedComment ref="O94" dT="2024-07-10T14:11:36.00" personId="{69D614B2-0D7F-4A39-8EC0-354910CE076D}" id="{2DECF2D9-463B-46BE-849A-F5156E4DF9D5}">
    <text>Assumes a maximum of 420 (35 hours/week * 12 weeks) summer hours for a GRA</text>
  </threadedComment>
  <threadedComment ref="B100" dT="2024-07-26T20:17:13.12" personId="{69D614B2-0D7F-4A39-8EC0-354910CE076D}" id="{500F7C2F-988F-4460-9DC9-1440371E9D8D}">
    <text>Assumes 420 hours is equivalent to 2.76 summer months [(420/456) * 3]</text>
  </threadedComment>
  <threadedComment ref="J100" dT="2024-07-26T20:11:57.42" personId="{69D614B2-0D7F-4A39-8EC0-354910CE076D}" id="{361FA9E8-9ACE-47B5-B90A-D9FD978945BB}">
    <text>Enter 2.76 [(420/456 * 3] for 420 hours</text>
  </threadedComment>
  <threadedComment ref="O100" dT="2024-07-10T14:11:36.00" personId="{69D614B2-0D7F-4A39-8EC0-354910CE076D}" id="{28386CB6-5E84-4EE2-8F55-7C14BB089067}">
    <text>Assumes a maximum of 420 (35 hours/week * 12 weeks) summer hours for a GRA</text>
  </threadedComment>
  <threadedComment ref="I175" dT="2024-03-08T19:35:35.69" personId="{69D614B2-0D7F-4A39-8EC0-354910CE076D}" id="{A80287E3-1726-4C4C-B904-4183F9DDDF5B}">
    <text>Enter the appropriate Other Sponsored Activity, Instruction, Off-Campus, Commercial/For Profit, sponsor-stipulated, or project-specific F&amp;A rate; otherwise, leave blank.
https://research.arizona.edu/administration/build-budget/FA-Costs/FA-rates</text>
    <extLst>
      <x:ext xmlns:xltc2="http://schemas.microsoft.com/office/spreadsheetml/2020/threadedcomments2" uri="{F7C98A9C-CBB3-438F-8F68-D28B6AF4A901}">
        <xltc2:checksum>1749603988</xltc2:checksum>
        <xltc2:hyperlink startIndex="170" length="74" url="https://research.arizona.edu/administration/build-budget/FA-Costs/FA-rates"/>
      </x:ext>
    </extLst>
  </threadedComment>
  <threadedComment ref="I178" dT="2024-08-02T16:50:55.69" personId="{69D614B2-0D7F-4A39-8EC0-354910CE076D}" id="{79726345-6C9A-4656-98FE-74F471E268CF}">
    <text>If the proposal is subject to the Policy for Indirect Costs with Direct Funds Transfer (DFT), enter the full indirect cost rate, and the effective UA indirect cost rate will be calculated automatically.
https://research.arizona.edu/administration/proposal-submission/proposal-approvals/university-arizona-foundation-direct-funds-transfer-dft</text>
    <extLst>
      <x:ext xmlns:xltc2="http://schemas.microsoft.com/office/spreadsheetml/2020/threadedcomments2" uri="{F7C98A9C-CBB3-438F-8F68-D28B6AF4A901}">
        <xltc2:checksum>2875807879</xltc2:checksum>
        <xltc2:hyperlink startIndex="203" length="138" url="https://research.arizona.edu/administration/proposal-submission/proposal-approvals/university-arizona-foundation-direct-funds-transfer-dft"/>
      </x:ext>
    </extLst>
  </threadedComment>
  <threadedComment ref="K178" dT="2024-08-02T17:12:07.07" personId="{69D614B2-0D7F-4A39-8EC0-354910CE076D}" id="{E12E9199-62D7-4678-9E88-652000A78F53}">
    <text>This F&amp;A rate should be referenced/entered in UAccess Research; it has been calculated automatically in accordance with the Policy for Indirect Costs with Direct Funds Transfer (DFT).
https://research.arizona.edu/administration/proposal-submission/proposal-approvals/university-arizona-foundation-direct-funds-transfer-dft</text>
    <extLst>
      <x:ext xmlns:xltc2="http://schemas.microsoft.com/office/spreadsheetml/2020/threadedcomments2" uri="{F7C98A9C-CBB3-438F-8F68-D28B6AF4A901}">
        <xltc2:checksum>4128482465</xltc2:checksum>
        <xltc2:hyperlink startIndex="184" length="138" url="https://research.arizona.edu/administration/proposal-submission/proposal-approvals/university-arizona-foundation-direct-funds-transfer-dft"/>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O84" dT="2024-07-10T14:11:36.00" personId="{69D614B2-0D7F-4A39-8EC0-354910CE076D}" id="{8B8A0D01-4AF0-4014-A0EF-E374D4DE7CE9}">
    <text>Assumes a maximum of 420 (35 hours/week * 12 weeks) summer hours for a GRA</text>
  </threadedComment>
  <threadedComment ref="O90" dT="2024-07-10T14:11:36.00" personId="{69D614B2-0D7F-4A39-8EC0-354910CE076D}" id="{F0D8051C-A617-411F-BC9D-D6ABF8F58E55}">
    <text>Assumes a maximum of 420 (35 hours/week * 12 weeks) summer hours for a GRA</text>
  </threadedComment>
  <threadedComment ref="O96" dT="2024-07-10T14:11:36.00" personId="{69D614B2-0D7F-4A39-8EC0-354910CE076D}" id="{EA42A083-01E4-4AB7-8EBC-349B1CA06951}">
    <text>Assumes a maximum of 420 (35 hours/week * 12 weeks) summer hours for a GRA</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grants.nih.gov/grants/guide/notice-files/NOT-OD-24-104.html" TargetMode="External"/><Relationship Id="rId7" Type="http://schemas.openxmlformats.org/officeDocument/2006/relationships/comments" Target="../comments1.xml"/><Relationship Id="rId2" Type="http://schemas.openxmlformats.org/officeDocument/2006/relationships/hyperlink" Target="https://hr.arizona.edu/news/2023/01/university-increasing-its-minimum-wage-fy-2024" TargetMode="External"/><Relationship Id="rId1" Type="http://schemas.openxmlformats.org/officeDocument/2006/relationships/hyperlink" Target="https://grad.arizona.edu/funding/costs-fe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I199"/>
  <sheetViews>
    <sheetView tabSelected="1" zoomScale="80" zoomScaleNormal="80" workbookViewId="0">
      <pane ySplit="6" topLeftCell="A7" activePane="bottomLeft" state="frozen"/>
      <selection pane="bottomLeft" sqref="A1:G2"/>
    </sheetView>
  </sheetViews>
  <sheetFormatPr defaultColWidth="8.7109375" defaultRowHeight="15.75" outlineLevelRow="1" x14ac:dyDescent="0.2"/>
  <cols>
    <col min="1" max="1" width="56.7109375" style="116" bestFit="1" customWidth="1"/>
    <col min="2" max="6" width="13.7109375" style="116" customWidth="1"/>
    <col min="7" max="7" width="14.7109375" style="115" customWidth="1"/>
    <col min="8" max="8" width="2.7109375" style="115" customWidth="1"/>
    <col min="9" max="9" width="33" style="116" customWidth="1"/>
    <col min="10" max="14" width="13.7109375" style="116" customWidth="1"/>
    <col min="15" max="15" width="17.7109375" style="116" customWidth="1"/>
    <col min="16" max="16" width="14.42578125" style="116" hidden="1" customWidth="1"/>
    <col min="17" max="17" width="12.7109375" style="116" hidden="1" customWidth="1"/>
    <col min="18" max="18" width="12.28515625" style="116" hidden="1" customWidth="1"/>
    <col min="19" max="19" width="3.7109375" style="116" customWidth="1"/>
    <col min="20" max="20" width="30.28515625" style="116" bestFit="1" customWidth="1"/>
    <col min="21" max="21" width="12" style="329" bestFit="1" customWidth="1"/>
    <col min="22" max="22" width="8" style="329" bestFit="1" customWidth="1"/>
    <col min="23" max="23" width="22.28515625" style="321" bestFit="1" customWidth="1"/>
    <col min="24" max="24" width="3.7109375" style="116" customWidth="1"/>
    <col min="25" max="25" width="26" style="116" hidden="1" customWidth="1"/>
    <col min="26" max="26" width="7.7109375" style="116" hidden="1" customWidth="1"/>
    <col min="27" max="27" width="8.7109375" style="116" hidden="1" customWidth="1"/>
    <col min="28" max="35" width="10.7109375" style="116" customWidth="1"/>
    <col min="36" max="16384" width="8.7109375" style="116"/>
  </cols>
  <sheetData>
    <row r="1" spans="1:35" s="115" customFormat="1" ht="15.75" customHeight="1" x14ac:dyDescent="0.25">
      <c r="A1" s="468"/>
      <c r="B1" s="468"/>
      <c r="C1" s="468"/>
      <c r="D1" s="468"/>
      <c r="E1" s="468"/>
      <c r="F1" s="468"/>
      <c r="G1" s="468"/>
      <c r="I1" s="462" t="s">
        <v>18</v>
      </c>
      <c r="J1" s="463"/>
      <c r="K1" s="463"/>
      <c r="L1" s="463"/>
      <c r="M1" s="463"/>
      <c r="N1" s="463"/>
      <c r="O1" s="464"/>
      <c r="T1" s="161" t="s">
        <v>151</v>
      </c>
      <c r="U1" s="286"/>
      <c r="V1" s="287"/>
      <c r="W1" s="288"/>
      <c r="Y1" s="457" t="s">
        <v>169</v>
      </c>
      <c r="Z1" s="457"/>
      <c r="AB1" s="289" t="s">
        <v>186</v>
      </c>
    </row>
    <row r="2" spans="1:35" s="115" customFormat="1" ht="15.75" customHeight="1" x14ac:dyDescent="0.2">
      <c r="A2" s="468"/>
      <c r="B2" s="468"/>
      <c r="C2" s="468"/>
      <c r="D2" s="468"/>
      <c r="E2" s="468"/>
      <c r="F2" s="468"/>
      <c r="G2" s="468"/>
      <c r="I2" s="465"/>
      <c r="J2" s="466"/>
      <c r="K2" s="466"/>
      <c r="L2" s="466"/>
      <c r="M2" s="466"/>
      <c r="N2" s="466"/>
      <c r="O2" s="467"/>
      <c r="T2" s="115" t="s">
        <v>188</v>
      </c>
      <c r="U2" s="290">
        <f>AB3</f>
        <v>61008</v>
      </c>
      <c r="V2" s="291"/>
      <c r="W2" s="112"/>
      <c r="Y2" s="292" t="s">
        <v>170</v>
      </c>
      <c r="Z2" s="293"/>
      <c r="AB2" s="294">
        <v>0</v>
      </c>
      <c r="AC2" s="294">
        <v>1</v>
      </c>
      <c r="AD2" s="294">
        <v>2</v>
      </c>
      <c r="AE2" s="294">
        <v>3</v>
      </c>
      <c r="AF2" s="294">
        <v>4</v>
      </c>
      <c r="AG2" s="294">
        <v>5</v>
      </c>
      <c r="AH2" s="294">
        <v>6</v>
      </c>
      <c r="AI2" s="294">
        <v>7</v>
      </c>
    </row>
    <row r="3" spans="1:35" s="115" customFormat="1" ht="15.75" customHeight="1" x14ac:dyDescent="0.2">
      <c r="A3" s="469" t="s">
        <v>190</v>
      </c>
      <c r="B3" s="469"/>
      <c r="C3" s="469"/>
      <c r="D3" s="469"/>
      <c r="E3" s="469"/>
      <c r="F3" s="469"/>
      <c r="G3" s="469"/>
      <c r="I3" s="295"/>
      <c r="J3" s="287" t="s">
        <v>28</v>
      </c>
      <c r="K3" s="287"/>
      <c r="L3" s="287"/>
      <c r="M3" s="287"/>
      <c r="N3" s="287"/>
      <c r="O3" s="296" t="s">
        <v>29</v>
      </c>
      <c r="P3" s="116">
        <f>IF(MONTH(J4)&gt;6, 12+7-MONTH(J4), 7-MONTH(J4))</f>
        <v>12</v>
      </c>
      <c r="Q3" s="115" t="s">
        <v>125</v>
      </c>
      <c r="T3" s="297" t="s">
        <v>148</v>
      </c>
      <c r="U3" s="290">
        <f>7369*2</f>
        <v>14738</v>
      </c>
      <c r="V3" s="298">
        <v>0.08</v>
      </c>
      <c r="W3" s="299" t="s">
        <v>161</v>
      </c>
      <c r="Y3" s="292" t="s">
        <v>125</v>
      </c>
      <c r="Z3" s="300"/>
      <c r="AB3" s="301">
        <v>61008</v>
      </c>
      <c r="AC3" s="301">
        <v>61428</v>
      </c>
      <c r="AD3" s="301">
        <v>61884</v>
      </c>
      <c r="AE3" s="301">
        <v>64356</v>
      </c>
      <c r="AF3" s="301">
        <v>66492</v>
      </c>
      <c r="AG3" s="301">
        <v>68964</v>
      </c>
      <c r="AH3" s="301">
        <v>71532</v>
      </c>
      <c r="AI3" s="301">
        <v>74088</v>
      </c>
    </row>
    <row r="4" spans="1:35" ht="15.75" customHeight="1" thickBot="1" x14ac:dyDescent="0.25">
      <c r="A4" s="115" t="str">
        <f>"Period of Performance: "&amp;TEXT(J4, "mm/dd/yy")&amp;" - "&amp;TEXT(O4, "mm/dd/yy")&amp;" ["&amp;ROUND(J6,2)&amp; " Year(s)]"</f>
        <v>Period of Performance: 07/01/24 - 01/00/00 [124.5 Year(s)]</v>
      </c>
      <c r="I4" s="302" t="s">
        <v>52</v>
      </c>
      <c r="J4" s="303">
        <v>45474</v>
      </c>
      <c r="K4" s="304"/>
      <c r="L4" s="304"/>
      <c r="M4" s="304"/>
      <c r="N4" s="304"/>
      <c r="O4" s="305"/>
      <c r="P4" s="116">
        <f>IF(DAY(J4)&gt;1,(P3-1+((DAY(DATE(YEAR(J4),MONTH(J4)+1,0))-DAY(J4))/DAY(DATE(YEAR(J4),MONTH(J4)+1,0)))),P3)</f>
        <v>12</v>
      </c>
      <c r="Q4" s="116" t="s">
        <v>123</v>
      </c>
      <c r="T4" s="297" t="s">
        <v>160</v>
      </c>
      <c r="U4" s="306">
        <v>15</v>
      </c>
      <c r="V4" s="307"/>
      <c r="W4" s="308"/>
      <c r="Y4" s="292" t="s">
        <v>171</v>
      </c>
      <c r="Z4" s="309"/>
      <c r="AC4" s="359"/>
      <c r="AD4" s="359"/>
      <c r="AE4" s="359"/>
      <c r="AF4" s="359"/>
      <c r="AG4" s="359"/>
      <c r="AH4" s="359"/>
      <c r="AI4" s="359"/>
    </row>
    <row r="5" spans="1:35" x14ac:dyDescent="0.2">
      <c r="A5" s="115"/>
      <c r="I5" s="310"/>
      <c r="J5" s="291" t="s">
        <v>80</v>
      </c>
      <c r="K5" s="291"/>
      <c r="L5" s="291"/>
      <c r="M5" s="291"/>
      <c r="N5" s="291"/>
      <c r="O5" s="311" t="s">
        <v>14</v>
      </c>
      <c r="P5" s="116">
        <f>IF(O4-J4&lt;366, P4/((YEAR(O4)-YEAR(J4))*12+MONTH(O4)-MONTH(J4)+1),0)</f>
        <v>-8.0375083724045539E-3</v>
      </c>
      <c r="Q5" s="116" t="s">
        <v>124</v>
      </c>
      <c r="T5" s="291"/>
      <c r="U5" s="291" t="s">
        <v>82</v>
      </c>
      <c r="V5" s="291" t="s">
        <v>86</v>
      </c>
      <c r="W5" s="291" t="s">
        <v>110</v>
      </c>
      <c r="Y5" s="312" t="s">
        <v>172</v>
      </c>
      <c r="Z5" s="115">
        <f>IF(Z3="F",Z2*12*Z4,IF(Z3="A",Z2*9*Z4,0))</f>
        <v>0</v>
      </c>
    </row>
    <row r="6" spans="1:35" s="291" customFormat="1" x14ac:dyDescent="0.2">
      <c r="B6" s="313" t="s">
        <v>6</v>
      </c>
      <c r="C6" s="294" t="s">
        <v>5</v>
      </c>
      <c r="D6" s="294" t="s">
        <v>7</v>
      </c>
      <c r="E6" s="294" t="s">
        <v>8</v>
      </c>
      <c r="F6" s="294" t="s">
        <v>9</v>
      </c>
      <c r="G6" s="294" t="s">
        <v>10</v>
      </c>
      <c r="I6" s="314"/>
      <c r="J6" s="315">
        <f>YEARFRAC(J4,O4)</f>
        <v>124.50277777777778</v>
      </c>
      <c r="K6" s="315"/>
      <c r="L6" s="315"/>
      <c r="M6" s="315"/>
      <c r="N6" s="315"/>
      <c r="O6" s="316">
        <v>0</v>
      </c>
      <c r="T6" s="291" t="s">
        <v>149</v>
      </c>
      <c r="U6" s="291" t="s">
        <v>83</v>
      </c>
      <c r="V6" s="291" t="s">
        <v>122</v>
      </c>
      <c r="W6" s="291" t="s">
        <v>111</v>
      </c>
      <c r="Y6" s="312" t="s">
        <v>173</v>
      </c>
      <c r="Z6" s="317">
        <f>IF(Z3="F",Z5/12,IF(Z3="A",Z5/9,0))</f>
        <v>0</v>
      </c>
    </row>
    <row r="7" spans="1:35" s="115" customFormat="1" x14ac:dyDescent="0.2">
      <c r="A7" s="115" t="s">
        <v>3</v>
      </c>
      <c r="B7" s="318"/>
      <c r="C7" s="318"/>
      <c r="D7" s="318"/>
      <c r="E7" s="318"/>
      <c r="F7" s="318"/>
      <c r="G7" s="318"/>
      <c r="I7" s="310"/>
      <c r="J7" s="291" t="s">
        <v>6</v>
      </c>
      <c r="K7" s="291" t="s">
        <v>5</v>
      </c>
      <c r="L7" s="291" t="s">
        <v>7</v>
      </c>
      <c r="M7" s="291" t="s">
        <v>8</v>
      </c>
      <c r="N7" s="291" t="s">
        <v>9</v>
      </c>
      <c r="O7" s="319"/>
      <c r="T7" s="301"/>
      <c r="U7" s="291"/>
      <c r="V7" s="320"/>
      <c r="W7" s="112"/>
    </row>
    <row r="8" spans="1:35" outlineLevel="1" x14ac:dyDescent="0.2">
      <c r="A8" s="446" t="s">
        <v>194</v>
      </c>
      <c r="B8" s="322"/>
      <c r="C8" s="323"/>
      <c r="D8" s="323"/>
      <c r="E8" s="323"/>
      <c r="F8" s="323"/>
      <c r="G8" s="318"/>
      <c r="I8" s="324" t="s">
        <v>128</v>
      </c>
      <c r="J8" s="325">
        <f>IF(U12="F",J9*12,SUM(J10*9,J11))</f>
        <v>0</v>
      </c>
      <c r="K8" s="325">
        <f>IF(U12="F",K9*12,SUM(K10*9,K11))</f>
        <v>0</v>
      </c>
      <c r="L8" s="325">
        <f>IF(U12="F",L9*12,SUM(L10*9,L11))</f>
        <v>0</v>
      </c>
      <c r="M8" s="325">
        <f>IF(U12="F",M9*12,SUM(M10*9,M11))</f>
        <v>0</v>
      </c>
      <c r="N8" s="325">
        <f>IF(U12="F",N9*12,SUM(N10*9,N11))</f>
        <v>0</v>
      </c>
      <c r="O8" s="311" t="s">
        <v>51</v>
      </c>
      <c r="P8" s="326" t="s">
        <v>126</v>
      </c>
      <c r="Q8" s="326" t="s">
        <v>127</v>
      </c>
      <c r="R8" s="327"/>
      <c r="S8" s="196"/>
      <c r="T8" s="328"/>
      <c r="V8" s="330"/>
    </row>
    <row r="9" spans="1:35" outlineLevel="1" x14ac:dyDescent="0.2">
      <c r="A9" s="331" t="str">
        <f>ROUND(P9*100, 2)&amp;"% Avg. Fiscal Effort, "&amp;ROUND(Q9, 2)&amp;" Avg. Calendar Months"</f>
        <v>0% Avg. Fiscal Effort, 0 Avg. Calendar Months</v>
      </c>
      <c r="B9" s="322">
        <f>O9*J9</f>
        <v>0</v>
      </c>
      <c r="C9" s="322">
        <f>IF($J$6&gt;1,IF($U$1&lt;&gt;0,IF(O9*(1+$O$6)&lt;=$U$1,O9*K9*(1+$O$6),$U$1*K9),O9*K9*(1+$O$6)),0)</f>
        <v>0</v>
      </c>
      <c r="D9" s="322">
        <f>IF($J$6&gt;2,IF($U$1&lt;&gt;0,IF(O9*(1+$O$6)^2&lt;=$U$1,O9*L9*(1+$O$6)^2,$U$1*L9),O9*L9*(1+$O$6)^2),0)</f>
        <v>0</v>
      </c>
      <c r="E9" s="322">
        <f>IF($J$6&gt;3,IF($U$1&lt;&gt;0,IF(O9*(1+$O$6)^3&lt;=$U$1,O9*M9*(1+$O$6)^3,$U$1*M9),O9*M9*(1+$O$6)^3),0)</f>
        <v>0</v>
      </c>
      <c r="F9" s="322">
        <f>IF($J$6&gt;4,IF($U$1&lt;&gt;0,IF(O9*(1+$O$6)^4&lt;=$U$1,O9*N9*(1+$O$6)^4,$U$1*N9),O9*N9*(1+$O$6)^4),0)</f>
        <v>0</v>
      </c>
      <c r="G9" s="318">
        <f>SUM(B9:F9)</f>
        <v>0</v>
      </c>
      <c r="H9" s="332"/>
      <c r="I9" s="324" t="s">
        <v>26</v>
      </c>
      <c r="J9" s="333">
        <v>0</v>
      </c>
      <c r="K9" s="333">
        <f>IF($J$6&gt;1,J9,0)</f>
        <v>0</v>
      </c>
      <c r="L9" s="333">
        <f>IF($J$6&gt;2,K9,0)</f>
        <v>0</v>
      </c>
      <c r="M9" s="333">
        <f>IF($J$6&gt;3,L9,0)</f>
        <v>0</v>
      </c>
      <c r="N9" s="333">
        <f>IF($J$6&gt;4,M9,0)</f>
        <v>0</v>
      </c>
      <c r="O9" s="334">
        <f>IF(U12="F",IF($U$1&lt;&gt;0,IF(T12&gt;$U$1,$U$1,T12),T12),0)</f>
        <v>0</v>
      </c>
      <c r="P9" s="292">
        <f>SUM(J8:N8)/(ROUNDUP($J$6,0)*12)</f>
        <v>0</v>
      </c>
      <c r="Q9" s="335">
        <f>(SUM(J8:N8)/(CEILING($J$6*12,12)))*12</f>
        <v>0</v>
      </c>
      <c r="T9" s="328"/>
      <c r="V9" s="330"/>
      <c r="X9" s="336"/>
    </row>
    <row r="10" spans="1:35" outlineLevel="1" x14ac:dyDescent="0.2">
      <c r="A10" s="458" t="str">
        <f>ROUND(P9*100,2)&amp;"% Annualized Effort, "&amp;ROUND(Q10,2)&amp;" Avg. Academic Months
"&amp;IF(SUM(J11:N11)&gt;0," and "&amp;Q11 &amp;" Avg. Summer Months", "")</f>
        <v xml:space="preserve">0% Annualized Effort, 0 Avg. Academic Months
</v>
      </c>
      <c r="B10" s="322">
        <f>J10*O10</f>
        <v>0</v>
      </c>
      <c r="C10" s="322">
        <f>IF($J$6&gt;1,IF($U$1&lt;&gt;0,IF(O10*(1+$O$6)&lt;=$U$1*0.75,O10*K10*(1+$O$6),$U$1*0.75*K10),O10*K10*(1+$O$6)),0)</f>
        <v>0</v>
      </c>
      <c r="D10" s="322">
        <f>IF($J$6&gt;2,IF($U$1&lt;&gt;0,IF(O10*(1+$O$6)^2&lt;=$U$1*0.75,O10*L10*(1+$O$6)^2,$U$1*0.75*L10),O10*L10*(1+$O$6)^2),0)</f>
        <v>0</v>
      </c>
      <c r="E10" s="322">
        <f>IF($J$6&gt;3,IF($U$1&lt;&gt;0,IF(O10*(1+$O$6)^3&lt;=$U$1*0.75,O10*M10*(1+$O$6)^3,$U$1*0.75*M10),O10*M10*(1+$O$6)^3),0)</f>
        <v>0</v>
      </c>
      <c r="F10" s="322">
        <f>IF($J$6&gt;4,IF($U$1&lt;&gt;0,IF(O10*(1+$O$6)^4&lt;=$U$1*0.75,O10*N10*(1+$O$6)^4,$U$1*0.75*N10),O10*N10*(1+$O$6)^4),0)</f>
        <v>0</v>
      </c>
      <c r="G10" s="318">
        <f>SUM(B10:F10)</f>
        <v>0</v>
      </c>
      <c r="H10" s="332"/>
      <c r="I10" s="324" t="s">
        <v>15</v>
      </c>
      <c r="J10" s="333">
        <v>0</v>
      </c>
      <c r="K10" s="333">
        <f>IF($J$6&gt;1,J10,0)</f>
        <v>0</v>
      </c>
      <c r="L10" s="333">
        <f>IF($J$6&gt;2,K10,0)</f>
        <v>0</v>
      </c>
      <c r="M10" s="333">
        <f>IF($J$6&gt;3,L10,0)</f>
        <v>0</v>
      </c>
      <c r="N10" s="333">
        <f>IF($J$6&gt;4,M10,0)</f>
        <v>0</v>
      </c>
      <c r="O10" s="334">
        <f>IF(U12="A",IF($U$1&lt;&gt;0,IF(T12&gt;($U$1/12*9),($U$1/12*9),T12),T12),0)</f>
        <v>0</v>
      </c>
      <c r="P10" s="337"/>
      <c r="Q10" s="338">
        <f>((SUM(J8:N8)-SUM(J11:N11))/(CEILING($J$6*9,9)))*9</f>
        <v>0</v>
      </c>
      <c r="R10" s="196"/>
      <c r="S10" s="196"/>
      <c r="T10" s="328"/>
      <c r="V10" s="330"/>
    </row>
    <row r="11" spans="1:35" outlineLevel="1" x14ac:dyDescent="0.2">
      <c r="A11" s="458"/>
      <c r="B11" s="322">
        <f>J11/3*O11</f>
        <v>0</v>
      </c>
      <c r="C11" s="322">
        <f>IF($J$6&gt;1,IF($U$1&lt;&gt;0,IF(O11*(1+$O$6)&lt;=$U$1*0.25,O11*K11/3*(1+$O$6),$U$1*0.25*K11/3),O11*K11/3*(1+$O$6)),0)</f>
        <v>0</v>
      </c>
      <c r="D11" s="322">
        <f>IF($J$6&gt;2,IF($U$1&lt;&gt;0,IF(O11*(1+$O$6)^2&lt;=$U$1*0.25,O11*L11/3*(1+$O$6)^2,$U$1*0.25*L11/3),O11*L11/3*(1+$O$6)^2),0)</f>
        <v>0</v>
      </c>
      <c r="E11" s="322">
        <f>IF($J$6&gt;3,IF($U$1&lt;&gt;0,IF(O11*(1+$O$6)^3&lt;=$U$1*0.25,O11*M11/3*(1+$O$6)^3,$U$1*0.25*M11/3),O11*M11/3*(1+$O$6)^3),0)</f>
        <v>0</v>
      </c>
      <c r="F11" s="322">
        <f>IF($J$6&gt;4,IF($U$1&lt;&gt;0,IF(O11*(1+$O$6)^4&lt;=$U$1*0.25,O11*N11/3*(1+$O$6)^4,$U$1*0.25*N11/3),O11*N11/3*(1+$O$6)^4),0)</f>
        <v>0</v>
      </c>
      <c r="G11" s="318">
        <f>SUM(B11:F11)</f>
        <v>0</v>
      </c>
      <c r="H11" s="332"/>
      <c r="I11" s="324" t="s">
        <v>17</v>
      </c>
      <c r="J11" s="339"/>
      <c r="K11" s="339">
        <f>IF($J$6&gt;1,J11,0)</f>
        <v>0</v>
      </c>
      <c r="L11" s="339">
        <f>IF($J$6&gt;2,K11,0)</f>
        <v>0</v>
      </c>
      <c r="M11" s="339">
        <f>IF($J$6&gt;3,L11,0)</f>
        <v>0</v>
      </c>
      <c r="N11" s="339">
        <f>IF($J$6&gt;4,M11,0)</f>
        <v>0</v>
      </c>
      <c r="O11" s="334">
        <f>IF(U12="A",IF($U$1&lt;&gt;0,IF(T12*0.000731*456&gt;($U$1/12*3),($U$1/12*3),T12*0.000731*456),T12*0.000731*456),0)</f>
        <v>0</v>
      </c>
      <c r="P11" s="340"/>
      <c r="Q11" s="340">
        <f>((SUM(J8:N8)-SUM(J10:N10)*9)/(CEILING($J$6*3,3)))*3</f>
        <v>0</v>
      </c>
      <c r="R11" s="196"/>
      <c r="S11" s="196"/>
      <c r="V11" s="330"/>
      <c r="Y11" s="285"/>
      <c r="Z11" s="285"/>
    </row>
    <row r="12" spans="1:35" outlineLevel="1" x14ac:dyDescent="0.2">
      <c r="A12" s="321"/>
      <c r="B12" s="322"/>
      <c r="C12" s="322"/>
      <c r="D12" s="323"/>
      <c r="E12" s="323"/>
      <c r="F12" s="323"/>
      <c r="G12" s="341"/>
      <c r="H12" s="342"/>
      <c r="I12" s="343" t="s">
        <v>109</v>
      </c>
      <c r="J12" s="344">
        <f>SUM(B9:B11)*$V12</f>
        <v>0</v>
      </c>
      <c r="K12" s="344">
        <f>SUM(C9:C11)*$V12</f>
        <v>0</v>
      </c>
      <c r="L12" s="344">
        <f>SUM(D9:D11)*$V12</f>
        <v>0</v>
      </c>
      <c r="M12" s="344">
        <f>SUM(E9:E11)*$V12</f>
        <v>0</v>
      </c>
      <c r="N12" s="344">
        <f>SUM(F9:F11)*$V12</f>
        <v>0</v>
      </c>
      <c r="O12" s="345"/>
      <c r="P12" s="340"/>
      <c r="Q12" s="340"/>
      <c r="R12" s="196"/>
      <c r="S12" s="196"/>
      <c r="T12" s="346"/>
      <c r="U12" s="347"/>
      <c r="V12" s="348"/>
      <c r="W12" s="349"/>
      <c r="Y12" s="285"/>
      <c r="Z12" s="285"/>
    </row>
    <row r="13" spans="1:35" outlineLevel="1" x14ac:dyDescent="0.2">
      <c r="A13" s="446" t="s">
        <v>194</v>
      </c>
      <c r="B13" s="322"/>
      <c r="C13" s="323"/>
      <c r="D13" s="323"/>
      <c r="E13" s="323"/>
      <c r="F13" s="323"/>
      <c r="G13" s="318"/>
      <c r="I13" s="324" t="s">
        <v>128</v>
      </c>
      <c r="J13" s="325">
        <f>IF(U17="F",J14*12,SUM(J15*9,J16))</f>
        <v>0</v>
      </c>
      <c r="K13" s="325">
        <f>IF(U17="F",K14*12,SUM(K15*9,K16))</f>
        <v>0</v>
      </c>
      <c r="L13" s="325">
        <f>IF(U17="F",L14*12,SUM(L15*9,L16))</f>
        <v>0</v>
      </c>
      <c r="M13" s="325">
        <f>IF(U17="F",M14*12,SUM(M15*9,M16))</f>
        <v>0</v>
      </c>
      <c r="N13" s="325">
        <f>IF(U17="F",N14*12,SUM(N15*9,N16))</f>
        <v>0</v>
      </c>
      <c r="O13" s="311" t="s">
        <v>51</v>
      </c>
      <c r="P13" s="326" t="s">
        <v>126</v>
      </c>
      <c r="Q13" s="326" t="s">
        <v>127</v>
      </c>
      <c r="R13" s="327"/>
      <c r="S13" s="196"/>
      <c r="T13" s="328"/>
      <c r="V13" s="330"/>
      <c r="Y13" s="285"/>
      <c r="Z13" s="285"/>
    </row>
    <row r="14" spans="1:35" outlineLevel="1" x14ac:dyDescent="0.2">
      <c r="A14" s="331" t="str">
        <f>ROUND(P14*100, 2)&amp;"% Avg. Fiscal Effort, "&amp;ROUND(Q14, 2)&amp;" Avg. Calendar Months"</f>
        <v>0% Avg. Fiscal Effort, 0 Avg. Calendar Months</v>
      </c>
      <c r="B14" s="322">
        <f>O14*J14</f>
        <v>0</v>
      </c>
      <c r="C14" s="322">
        <f>IF($J$6&gt;1,IF($U$1&lt;&gt;0,IF(O14*(1+$O$6)&lt;=$U$1,O14*K14*(1+$O$6),$U$1*K14),O14*K14*(1+$O$6)),0)</f>
        <v>0</v>
      </c>
      <c r="D14" s="322">
        <f>IF($J$6&gt;2,IF($U$1&lt;&gt;0,IF(O14*(1+$O$6)^2&lt;=$U$1,O14*L14*(1+$O$6)^2,$U$1*L14),O14*L14*(1+$O$6)^2),0)</f>
        <v>0</v>
      </c>
      <c r="E14" s="322">
        <f>IF($J$6&gt;3,IF($U$1&lt;&gt;0,IF(O14*(1+$O$6)^3&lt;=$U$1,O14*M14*(1+$O$6)^3,$U$1*M14),O14*M14*(1+$O$6)^3),0)</f>
        <v>0</v>
      </c>
      <c r="F14" s="322">
        <f>IF($J$6&gt;4,IF($U$1&lt;&gt;0,IF(O14*(1+$O$6)^4&lt;=$U$1,O14*N14*(1+$O$6)^4,$U$1*N14),O14*N14*(1+$O$6)^4),0)</f>
        <v>0</v>
      </c>
      <c r="G14" s="318">
        <f>SUM(B14:F14)</f>
        <v>0</v>
      </c>
      <c r="H14" s="332"/>
      <c r="I14" s="324" t="s">
        <v>26</v>
      </c>
      <c r="J14" s="333">
        <v>0</v>
      </c>
      <c r="K14" s="333">
        <f>IF($J$6&gt;1,J14,0)</f>
        <v>0</v>
      </c>
      <c r="L14" s="333">
        <f>IF($J$6&gt;2,K14,0)</f>
        <v>0</v>
      </c>
      <c r="M14" s="333">
        <f>IF($J$6&gt;3,L14,0)</f>
        <v>0</v>
      </c>
      <c r="N14" s="333">
        <f>IF($J$6&gt;4,M14,0)</f>
        <v>0</v>
      </c>
      <c r="O14" s="334">
        <f>IF(U17="F",IF($U$1&lt;&gt;0,IF(T17&gt;$U$1,$U$1,T17),T17),0)</f>
        <v>0</v>
      </c>
      <c r="P14" s="292">
        <f>SUM(J13:N13)/(ROUNDUP($J$6,0)*12)</f>
        <v>0</v>
      </c>
      <c r="Q14" s="335">
        <f>(SUM(J13:N13)/(CEILING($J$6*12,12)))*12</f>
        <v>0</v>
      </c>
      <c r="T14" s="328"/>
      <c r="V14" s="330"/>
      <c r="X14" s="336"/>
      <c r="Y14" s="285"/>
      <c r="Z14" s="285"/>
    </row>
    <row r="15" spans="1:35" ht="15.75" customHeight="1" outlineLevel="1" x14ac:dyDescent="0.2">
      <c r="A15" s="458" t="str">
        <f>ROUND(P14*100,2)&amp;"% Annualized Effort, "&amp;ROUND(Q15,2)&amp;" Avg. Academic Months
"&amp;IF(SUM(J16:N16)&gt;0," and "&amp;Q16 &amp;" Avg. Summer Months", "")</f>
        <v xml:space="preserve">0% Annualized Effort, 0 Avg. Academic Months
</v>
      </c>
      <c r="B15" s="322">
        <f>J15*O15</f>
        <v>0</v>
      </c>
      <c r="C15" s="322">
        <f>IF($J$6&gt;1,IF($U$1&lt;&gt;0,IF(O15*(1+$O$6)&lt;=$U$1*0.75,O15*K15*(1+$O$6),$U$1*0.75*K15),O15*K15*(1+$O$6)),0)</f>
        <v>0</v>
      </c>
      <c r="D15" s="322">
        <f>IF($J$6&gt;2,IF($U$1&lt;&gt;0,IF(O15*(1+$O$6)^2&lt;=$U$1*0.75,O15*L15*(1+$O$6)^2,$U$1*0.75*L15),O15*L15*(1+$O$6)^2),0)</f>
        <v>0</v>
      </c>
      <c r="E15" s="322">
        <f>IF($J$6&gt;3,IF($U$1&lt;&gt;0,IF(O15*(1+$O$6)^3&lt;=$U$1*0.75,O15*M15*(1+$O$6)^3,$U$1*0.75*M15),O15*M15*(1+$O$6)^3),0)</f>
        <v>0</v>
      </c>
      <c r="F15" s="322">
        <f>IF($J$6&gt;4,IF($U$1&lt;&gt;0,IF(O15*(1+$O$6)^4&lt;=$U$1*0.75,O15*N15*(1+$O$6)^4,$U$1*0.75*N15),O15*N15*(1+$O$6)^4),0)</f>
        <v>0</v>
      </c>
      <c r="G15" s="318">
        <f>SUM(B15:F15)</f>
        <v>0</v>
      </c>
      <c r="H15" s="332"/>
      <c r="I15" s="324" t="s">
        <v>15</v>
      </c>
      <c r="J15" s="333">
        <v>0</v>
      </c>
      <c r="K15" s="333">
        <f>IF($J$6&gt;1,J15,0)</f>
        <v>0</v>
      </c>
      <c r="L15" s="333">
        <f>IF($J$6&gt;2,K15,0)</f>
        <v>0</v>
      </c>
      <c r="M15" s="333">
        <f>IF($J$6&gt;3,L15,0)</f>
        <v>0</v>
      </c>
      <c r="N15" s="333">
        <f>IF($J$6&gt;4,M15,0)</f>
        <v>0</v>
      </c>
      <c r="O15" s="334">
        <f>IF(U17="A",IF($U$1&lt;&gt;0,IF(T17&gt;($U$1/12*9),($U$1/12*9),T17),T17),0)</f>
        <v>0</v>
      </c>
      <c r="P15" s="337"/>
      <c r="Q15" s="338">
        <f>((SUM(J13:N13)-SUM(J16:N16))/(CEILING($J$6*9,9)))*9</f>
        <v>0</v>
      </c>
      <c r="R15" s="196"/>
      <c r="S15" s="196"/>
      <c r="T15" s="328"/>
      <c r="V15" s="330"/>
      <c r="Y15" s="285"/>
      <c r="Z15" s="285"/>
    </row>
    <row r="16" spans="1:35" outlineLevel="1" x14ac:dyDescent="0.2">
      <c r="A16" s="458"/>
      <c r="B16" s="322">
        <f>J16/3*O16</f>
        <v>0</v>
      </c>
      <c r="C16" s="322">
        <f>IF($J$6&gt;1,IF($U$1&lt;&gt;0,IF(O16*(1+$O$6)&lt;=$U$1*0.25,O16*K16/3*(1+$O$6),$U$1*0.25*K16/3),O16*K16/3*(1+$O$6)),0)</f>
        <v>0</v>
      </c>
      <c r="D16" s="322">
        <f>IF($J$6&gt;2,IF($U$1&lt;&gt;0,IF(O16*(1+$O$6)^2&lt;=$U$1*0.25,O16*L16/3*(1+$O$6)^2,$U$1*0.25*L16/3),O16*L16/3*(1+$O$6)^2),0)</f>
        <v>0</v>
      </c>
      <c r="E16" s="322">
        <f>IF($J$6&gt;3,IF($U$1&lt;&gt;0,IF(O16*(1+$O$6)^3&lt;=$U$1*0.25,O16*M16/3*(1+$O$6)^3,$U$1*0.25*M16/3),O16*M16/3*(1+$O$6)^3),0)</f>
        <v>0</v>
      </c>
      <c r="F16" s="322">
        <f>IF($J$6&gt;4,IF($U$1&lt;&gt;0,IF(O16*(1+$O$6)^4&lt;=$U$1*0.25,O16*N16/3*(1+$O$6)^4,$U$1*0.25*N16/3),O16*N16/3*(1+$O$6)^4),0)</f>
        <v>0</v>
      </c>
      <c r="G16" s="318">
        <f>SUM(B16:F16)</f>
        <v>0</v>
      </c>
      <c r="H16" s="332"/>
      <c r="I16" s="324" t="s">
        <v>17</v>
      </c>
      <c r="J16" s="339">
        <v>0</v>
      </c>
      <c r="K16" s="339">
        <f>IF($J$6&gt;1,J16,0)</f>
        <v>0</v>
      </c>
      <c r="L16" s="339">
        <f>IF($J$6&gt;2,K16,0)</f>
        <v>0</v>
      </c>
      <c r="M16" s="339">
        <f>IF($J$6&gt;3,L16,0)</f>
        <v>0</v>
      </c>
      <c r="N16" s="339">
        <f>IF($J$6&gt;4,M16,0)</f>
        <v>0</v>
      </c>
      <c r="O16" s="334">
        <f>IF(U17="A",IF($U$1&lt;&gt;0,IF(T17*0.000731*456&gt;($U$1/12*3),($U$1/12*3),T17*0.000731*456),T17*0.000731*456),0)</f>
        <v>0</v>
      </c>
      <c r="P16" s="340"/>
      <c r="Q16" s="340">
        <f>((SUM(J13:N13)-SUM(J15:N15)*9)/(CEILING($J$6*3,3)))*3</f>
        <v>0</v>
      </c>
      <c r="R16" s="196"/>
      <c r="S16" s="196"/>
      <c r="V16" s="330"/>
      <c r="Y16" s="285"/>
      <c r="Z16" s="285"/>
    </row>
    <row r="17" spans="1:26" outlineLevel="1" x14ac:dyDescent="0.2">
      <c r="A17" s="321"/>
      <c r="B17" s="322"/>
      <c r="C17" s="322"/>
      <c r="D17" s="323"/>
      <c r="E17" s="323"/>
      <c r="F17" s="323"/>
      <c r="G17" s="341"/>
      <c r="H17" s="342"/>
      <c r="I17" s="343" t="s">
        <v>109</v>
      </c>
      <c r="J17" s="344">
        <f>SUM(B14:B16)*$V17</f>
        <v>0</v>
      </c>
      <c r="K17" s="344">
        <f>SUM(C14:C16)*$V17</f>
        <v>0</v>
      </c>
      <c r="L17" s="344">
        <f>SUM(D14:D16)*$V17</f>
        <v>0</v>
      </c>
      <c r="M17" s="344">
        <f>SUM(E14:E16)*$V17</f>
        <v>0</v>
      </c>
      <c r="N17" s="344">
        <f>SUM(F14:F16)*$V17</f>
        <v>0</v>
      </c>
      <c r="O17" s="345"/>
      <c r="P17" s="340"/>
      <c r="Q17" s="340"/>
      <c r="R17" s="196"/>
      <c r="S17" s="196"/>
      <c r="T17" s="346"/>
      <c r="U17" s="347"/>
      <c r="V17" s="348"/>
      <c r="W17" s="349"/>
      <c r="Y17" s="285"/>
      <c r="Z17" s="285"/>
    </row>
    <row r="18" spans="1:26" outlineLevel="1" x14ac:dyDescent="0.2">
      <c r="A18" s="446" t="s">
        <v>194</v>
      </c>
      <c r="B18" s="322"/>
      <c r="C18" s="323"/>
      <c r="D18" s="323"/>
      <c r="E18" s="323"/>
      <c r="F18" s="323"/>
      <c r="G18" s="318"/>
      <c r="I18" s="324" t="s">
        <v>128</v>
      </c>
      <c r="J18" s="325">
        <f>IF(U22="F",J19*12,SUM(J20*9,J21))</f>
        <v>0</v>
      </c>
      <c r="K18" s="325">
        <f>IF(U22="F",K19*12,SUM(K20*9,K21))</f>
        <v>0</v>
      </c>
      <c r="L18" s="325">
        <f>IF(U22="F",L19*12,SUM(L20*9,L21))</f>
        <v>0</v>
      </c>
      <c r="M18" s="325">
        <f>IF(U22="F",M19*12,SUM(M20*9,M21))</f>
        <v>0</v>
      </c>
      <c r="N18" s="325">
        <f>IF(U22="F",N19*12,SUM(N20*9,N21))</f>
        <v>0</v>
      </c>
      <c r="O18" s="311" t="s">
        <v>51</v>
      </c>
      <c r="P18" s="326" t="s">
        <v>126</v>
      </c>
      <c r="Q18" s="326" t="s">
        <v>127</v>
      </c>
      <c r="R18" s="327"/>
      <c r="S18" s="196"/>
      <c r="T18" s="328"/>
      <c r="V18" s="330"/>
      <c r="Y18" s="285"/>
      <c r="Z18" s="285"/>
    </row>
    <row r="19" spans="1:26" outlineLevel="1" x14ac:dyDescent="0.2">
      <c r="A19" s="331" t="str">
        <f>ROUND(P19*100, 2)&amp;"% Avg. Fiscal Effort, "&amp;ROUND(Q19, 2)&amp;" Avg. Calendar Months"</f>
        <v>0% Avg. Fiscal Effort, 0 Avg. Calendar Months</v>
      </c>
      <c r="B19" s="322">
        <f>O19*J19</f>
        <v>0</v>
      </c>
      <c r="C19" s="322">
        <f>IF($J$6&gt;1,IF($U$1&lt;&gt;0,IF(O19*(1+$O$6)&lt;=$U$1,O19*K19*(1+$O$6),$U$1*K19),O19*K19*(1+$O$6)),0)</f>
        <v>0</v>
      </c>
      <c r="D19" s="322">
        <f>IF($J$6&gt;2,IF($U$1&lt;&gt;0,IF(O19*(1+$O$6)^2&lt;=$U$1,O19*L19*(1+$O$6)^2,$U$1*L19),O19*L19*(1+$O$6)^2),0)</f>
        <v>0</v>
      </c>
      <c r="E19" s="322">
        <f>IF($J$6&gt;3,IF($U$1&lt;&gt;0,IF(O19*(1+$O$6)^3&lt;=$U$1,O19*M19*(1+$O$6)^3,$U$1*M19),O19*M19*(1+$O$6)^3),0)</f>
        <v>0</v>
      </c>
      <c r="F19" s="322">
        <f>IF($J$6&gt;4,IF($U$1&lt;&gt;0,IF(O19*(1+$O$6)^4&lt;=$U$1,O19*N19*(1+$O$6)^4,$U$1*N19),O19*N19*(1+$O$6)^4),0)</f>
        <v>0</v>
      </c>
      <c r="G19" s="318">
        <f>SUM(B19:F19)</f>
        <v>0</v>
      </c>
      <c r="H19" s="332"/>
      <c r="I19" s="324" t="s">
        <v>26</v>
      </c>
      <c r="J19" s="333">
        <v>0</v>
      </c>
      <c r="K19" s="333">
        <f>IF($J$6&gt;1,J19,0)</f>
        <v>0</v>
      </c>
      <c r="L19" s="333">
        <f>IF($J$6&gt;2,K19,0)</f>
        <v>0</v>
      </c>
      <c r="M19" s="333">
        <f>IF($J$6&gt;3,L19,0)</f>
        <v>0</v>
      </c>
      <c r="N19" s="333">
        <f>IF($J$6&gt;4,M19,0)</f>
        <v>0</v>
      </c>
      <c r="O19" s="334">
        <f>IF(U22="F",IF($U$1&lt;&gt;0,IF(T22&gt;$U$1,$U$1,T22),T22),0)</f>
        <v>0</v>
      </c>
      <c r="P19" s="292">
        <f>SUM(J18:N18)/(ROUNDUP($J$6,0)*12)</f>
        <v>0</v>
      </c>
      <c r="Q19" s="335">
        <f>(SUM(J18:N18)/(CEILING($J$6*12,12)))*12</f>
        <v>0</v>
      </c>
      <c r="T19" s="328"/>
      <c r="V19" s="330"/>
      <c r="X19" s="336"/>
    </row>
    <row r="20" spans="1:26" outlineLevel="1" x14ac:dyDescent="0.2">
      <c r="A20" s="458" t="str">
        <f>ROUND(P19*100,2)&amp;"% Annualized Effort, "&amp;ROUND(Q20,2)&amp;" Avg. Academic Months
"&amp;IF(SUM(J21:N21)&gt;0," and "&amp;Q21 &amp;" Avg. Summer Months", "")</f>
        <v xml:space="preserve">0% Annualized Effort, 0 Avg. Academic Months
</v>
      </c>
      <c r="B20" s="322">
        <f>J20*O20</f>
        <v>0</v>
      </c>
      <c r="C20" s="322">
        <f>IF($J$6&gt;1,IF($U$1&lt;&gt;0,IF(O20*(1+$O$6)&lt;=$U$1*0.75,O20*K20*(1+$O$6),$U$1*0.75*K20),O20*K20*(1+$O$6)),0)</f>
        <v>0</v>
      </c>
      <c r="D20" s="322">
        <f>IF($J$6&gt;2,IF($U$1&lt;&gt;0,IF(O20*(1+$O$6)^2&lt;=$U$1*0.75,O20*L20*(1+$O$6)^2,$U$1*0.75*L20),O20*L20*(1+$O$6)^2),0)</f>
        <v>0</v>
      </c>
      <c r="E20" s="322">
        <f>IF($J$6&gt;3,IF($U$1&lt;&gt;0,IF(O20*(1+$O$6)^3&lt;=$U$1*0.75,O20*M20*(1+$O$6)^3,$U$1*0.75*M20),O20*M20*(1+$O$6)^3),0)</f>
        <v>0</v>
      </c>
      <c r="F20" s="322">
        <f>IF($J$6&gt;4,IF($U$1&lt;&gt;0,IF(O20*(1+$O$6)^4&lt;=$U$1*0.75,O20*N20*(1+$O$6)^4,$U$1*0.75*N20),O20*N20*(1+$O$6)^4),0)</f>
        <v>0</v>
      </c>
      <c r="G20" s="318">
        <f>SUM(B20:F20)</f>
        <v>0</v>
      </c>
      <c r="H20" s="332"/>
      <c r="I20" s="324" t="s">
        <v>15</v>
      </c>
      <c r="J20" s="333">
        <v>0</v>
      </c>
      <c r="K20" s="333">
        <f>IF($J$6&gt;1,J20,0)</f>
        <v>0</v>
      </c>
      <c r="L20" s="333">
        <f>IF($J$6&gt;2,K20,0)</f>
        <v>0</v>
      </c>
      <c r="M20" s="333">
        <f>IF($J$6&gt;3,L20,0)</f>
        <v>0</v>
      </c>
      <c r="N20" s="333">
        <f>IF($J$6&gt;4,M20,0)</f>
        <v>0</v>
      </c>
      <c r="O20" s="334">
        <f>IF(U22="A",IF($U$1&lt;&gt;0,IF(T22&gt;($U$1/12*9),($U$1/12*9),T22),T22),0)</f>
        <v>0</v>
      </c>
      <c r="P20" s="337"/>
      <c r="Q20" s="338">
        <f>((SUM(J18:N18)-SUM(J21:N21))/(CEILING($J$6*9,9)))*9</f>
        <v>0</v>
      </c>
      <c r="R20" s="196"/>
      <c r="S20" s="196"/>
      <c r="T20" s="328"/>
      <c r="V20" s="330"/>
    </row>
    <row r="21" spans="1:26" outlineLevel="1" x14ac:dyDescent="0.2">
      <c r="A21" s="458"/>
      <c r="B21" s="322">
        <f>J21/3*O21</f>
        <v>0</v>
      </c>
      <c r="C21" s="322">
        <f>IF($J$6&gt;1,IF($U$1&lt;&gt;0,IF(O21*(1+$O$6)&lt;=$U$1*0.25,O21*K21/3*(1+$O$6),$U$1*0.25*K21/3),O21*K21/3*(1+$O$6)),0)</f>
        <v>0</v>
      </c>
      <c r="D21" s="322">
        <f>IF($J$6&gt;2,IF($U$1&lt;&gt;0,IF(O21*(1+$O$6)^2&lt;=$U$1*0.25,O21*L21/3*(1+$O$6)^2,$U$1*0.25*L21/3),O21*L21/3*(1+$O$6)^2),0)</f>
        <v>0</v>
      </c>
      <c r="E21" s="322">
        <f>IF($J$6&gt;3,IF($U$1&lt;&gt;0,IF(O21*(1+$O$6)^3&lt;=$U$1*0.25,O21*M21/3*(1+$O$6)^3,$U$1*0.25*M21/3),O21*M21/3*(1+$O$6)^3),0)</f>
        <v>0</v>
      </c>
      <c r="F21" s="322">
        <f>IF($J$6&gt;4,IF($U$1&lt;&gt;0,IF(O21*(1+$O$6)^4&lt;=$U$1*0.25,O21*N21/3*(1+$O$6)^4,$U$1*0.25*N21/3),O21*N21/3*(1+$O$6)^4),0)</f>
        <v>0</v>
      </c>
      <c r="G21" s="318">
        <f>SUM(B21:F21)</f>
        <v>0</v>
      </c>
      <c r="H21" s="332"/>
      <c r="I21" s="324" t="s">
        <v>17</v>
      </c>
      <c r="J21" s="339">
        <v>0</v>
      </c>
      <c r="K21" s="339">
        <f>IF($J$6&gt;1,J21,0)</f>
        <v>0</v>
      </c>
      <c r="L21" s="339">
        <f>IF($J$6&gt;2,K21,0)</f>
        <v>0</v>
      </c>
      <c r="M21" s="339">
        <f>IF($J$6&gt;3,L21,0)</f>
        <v>0</v>
      </c>
      <c r="N21" s="339">
        <f>IF($J$6&gt;4,M21,0)</f>
        <v>0</v>
      </c>
      <c r="O21" s="334">
        <f>IF(U22="A",IF($U$1&lt;&gt;0,IF(T22*0.000731*456&gt;($U$1/12*3),($U$1/12*3),T22*0.000731*456),T22*0.000731*456),0)</f>
        <v>0</v>
      </c>
      <c r="P21" s="340"/>
      <c r="Q21" s="340">
        <f>((SUM(J18:N18)-SUM(J20:N20)*9)/(CEILING($J$6*3,3)))*3</f>
        <v>0</v>
      </c>
      <c r="R21" s="196"/>
      <c r="S21" s="196"/>
      <c r="V21" s="330"/>
    </row>
    <row r="22" spans="1:26" outlineLevel="1" x14ac:dyDescent="0.2">
      <c r="A22" s="321"/>
      <c r="B22" s="322"/>
      <c r="C22" s="322"/>
      <c r="D22" s="323"/>
      <c r="E22" s="323"/>
      <c r="F22" s="323"/>
      <c r="G22" s="341"/>
      <c r="H22" s="342"/>
      <c r="I22" s="343" t="s">
        <v>109</v>
      </c>
      <c r="J22" s="344">
        <f>SUM(B19:B21)*$V22</f>
        <v>0</v>
      </c>
      <c r="K22" s="344">
        <f>SUM(C19:C21)*$V22</f>
        <v>0</v>
      </c>
      <c r="L22" s="344">
        <f>SUM(D19:D21)*$V22</f>
        <v>0</v>
      </c>
      <c r="M22" s="344">
        <f>SUM(E19:E21)*$V22</f>
        <v>0</v>
      </c>
      <c r="N22" s="344">
        <f>SUM(F19:F21)*$V22</f>
        <v>0</v>
      </c>
      <c r="O22" s="345"/>
      <c r="P22" s="340"/>
      <c r="Q22" s="340"/>
      <c r="R22" s="196"/>
      <c r="S22" s="196"/>
      <c r="T22" s="346"/>
      <c r="U22" s="347"/>
      <c r="V22" s="348"/>
      <c r="W22" s="349"/>
    </row>
    <row r="23" spans="1:26" hidden="1" outlineLevel="1" x14ac:dyDescent="0.2">
      <c r="A23" s="446" t="s">
        <v>194</v>
      </c>
      <c r="B23" s="322"/>
      <c r="C23" s="323"/>
      <c r="D23" s="323"/>
      <c r="E23" s="323"/>
      <c r="F23" s="323"/>
      <c r="G23" s="318"/>
      <c r="I23" s="324" t="s">
        <v>128</v>
      </c>
      <c r="J23" s="325">
        <f>IF(U27="F",J24*12,SUM(J25*9,J26))</f>
        <v>0</v>
      </c>
      <c r="K23" s="325">
        <f>IF(U27="F",K24*12,SUM(K25*9,K26))</f>
        <v>0</v>
      </c>
      <c r="L23" s="325">
        <f>IF(U27="F",L24*12,SUM(L25*9,L26))</f>
        <v>0</v>
      </c>
      <c r="M23" s="325">
        <f>IF(U27="F",M24*12,SUM(M25*9,M26))</f>
        <v>0</v>
      </c>
      <c r="N23" s="325">
        <f>IF(U27="F",N24*12,SUM(N25*9,N26))</f>
        <v>0</v>
      </c>
      <c r="O23" s="311" t="s">
        <v>51</v>
      </c>
      <c r="P23" s="326" t="s">
        <v>126</v>
      </c>
      <c r="Q23" s="326" t="s">
        <v>127</v>
      </c>
      <c r="R23" s="327"/>
      <c r="S23" s="196"/>
      <c r="T23" s="328"/>
      <c r="V23" s="330"/>
    </row>
    <row r="24" spans="1:26" hidden="1" outlineLevel="1" x14ac:dyDescent="0.2">
      <c r="A24" s="331" t="str">
        <f>ROUND(P24*100, 2)&amp;"% Avg. Fiscal Effort, "&amp;ROUND(Q24, 2)&amp;" Avg. Calendar Months"</f>
        <v>0% Avg. Fiscal Effort, 0 Avg. Calendar Months</v>
      </c>
      <c r="B24" s="322">
        <f>O24*J24</f>
        <v>0</v>
      </c>
      <c r="C24" s="322">
        <f>IF($J$6&gt;1,IF($U$1&lt;&gt;0,IF(O24*(1+$O$6)&lt;=$U$1,O24*K24*(1+$O$6),$U$1*K24),O24*K24*(1+$O$6)),0)</f>
        <v>0</v>
      </c>
      <c r="D24" s="322">
        <f>IF($J$6&gt;2,IF($U$1&lt;&gt;0,IF(O24*(1+$O$6)^2&lt;=$U$1,O24*L24*(1+$O$6)^2,$U$1*L24),O24*L24*(1+$O$6)^2),0)</f>
        <v>0</v>
      </c>
      <c r="E24" s="322">
        <f>IF($J$6&gt;3,IF($U$1&lt;&gt;0,IF(O24*(1+$O$6)^3&lt;=$U$1,O24*M24*(1+$O$6)^3,$U$1*M24),O24*M24*(1+$O$6)^3),0)</f>
        <v>0</v>
      </c>
      <c r="F24" s="322">
        <f>IF($J$6&gt;4,IF($U$1&lt;&gt;0,IF(O24*(1+$O$6)^4&lt;=$U$1,O24*N24*(1+$O$6)^4,$U$1*N24),O24*N24*(1+$O$6)^4),0)</f>
        <v>0</v>
      </c>
      <c r="G24" s="318">
        <f>SUM(B24:F24)</f>
        <v>0</v>
      </c>
      <c r="H24" s="332"/>
      <c r="I24" s="324" t="s">
        <v>26</v>
      </c>
      <c r="J24" s="333">
        <v>0</v>
      </c>
      <c r="K24" s="333">
        <f>IF($J$6&gt;1,J24,0)</f>
        <v>0</v>
      </c>
      <c r="L24" s="333">
        <f>IF($J$6&gt;2,K24,0)</f>
        <v>0</v>
      </c>
      <c r="M24" s="333">
        <f>IF($J$6&gt;3,L24,0)</f>
        <v>0</v>
      </c>
      <c r="N24" s="333">
        <f>IF($J$6&gt;4,M24,0)</f>
        <v>0</v>
      </c>
      <c r="O24" s="334">
        <f>IF(U27="F",IF($U$1&lt;&gt;0,IF(T27&gt;$U$1,$U$1,T27),T27),0)</f>
        <v>0</v>
      </c>
      <c r="P24" s="292">
        <f>SUM(J23:N23)/(ROUNDUP($J$6,0)*12)</f>
        <v>0</v>
      </c>
      <c r="Q24" s="335">
        <f>(SUM(J23:N23)/(CEILING($J$6*12,12)))*12</f>
        <v>0</v>
      </c>
      <c r="T24" s="328"/>
      <c r="V24" s="330"/>
      <c r="X24" s="336"/>
    </row>
    <row r="25" spans="1:26" hidden="1" outlineLevel="1" x14ac:dyDescent="0.2">
      <c r="A25" s="458" t="str">
        <f>ROUND(P24*100,2)&amp;"% Annualized Effort, "&amp;ROUND(Q25,2)&amp;" Avg. Academic Months
"&amp;IF(SUM(J26:N26)&gt;0," and "&amp;Q26 &amp;" Avg. Summer Months", "")</f>
        <v xml:space="preserve">0% Annualized Effort, 0 Avg. Academic Months
</v>
      </c>
      <c r="B25" s="322">
        <f>J25*O25</f>
        <v>0</v>
      </c>
      <c r="C25" s="322">
        <f>IF($J$6&gt;1,IF($U$1&lt;&gt;0,IF(O25*(1+$O$6)&lt;=$U$1*0.75,O25*K25*(1+$O$6),$U$1*0.75*K25),O25*K25*(1+$O$6)),0)</f>
        <v>0</v>
      </c>
      <c r="D25" s="322">
        <f>IF($J$6&gt;2,IF($U$1&lt;&gt;0,IF(O25*(1+$O$6)^2&lt;=$U$1*0.75,O25*L25*(1+$O$6)^2,$U$1*0.75*L25),O25*L25*(1+$O$6)^2),0)</f>
        <v>0</v>
      </c>
      <c r="E25" s="322">
        <f>IF($J$6&gt;3,IF($U$1&lt;&gt;0,IF(O25*(1+$O$6)^3&lt;=$U$1*0.75,O25*M25*(1+$O$6)^3,$U$1*0.75*M25),O25*M25*(1+$O$6)^3),0)</f>
        <v>0</v>
      </c>
      <c r="F25" s="322">
        <f>IF($J$6&gt;4,IF($U$1&lt;&gt;0,IF(O25*(1+$O$6)^4&lt;=$U$1*0.75,O25*N25*(1+$O$6)^4,$U$1*0.75*N25),O25*N25*(1+$O$6)^4),0)</f>
        <v>0</v>
      </c>
      <c r="G25" s="318">
        <f>SUM(B25:F25)</f>
        <v>0</v>
      </c>
      <c r="H25" s="332"/>
      <c r="I25" s="324" t="s">
        <v>15</v>
      </c>
      <c r="J25" s="333">
        <v>0</v>
      </c>
      <c r="K25" s="333">
        <f>IF($J$6&gt;1,J25,0)</f>
        <v>0</v>
      </c>
      <c r="L25" s="333">
        <f>IF($J$6&gt;2,K25,0)</f>
        <v>0</v>
      </c>
      <c r="M25" s="333">
        <f>IF($J$6&gt;3,L25,0)</f>
        <v>0</v>
      </c>
      <c r="N25" s="333">
        <f>IF($J$6&gt;4,M25,0)</f>
        <v>0</v>
      </c>
      <c r="O25" s="334">
        <f>IF(U27="A",IF($U$1&lt;&gt;0,IF(T27&gt;($U$1/12*9),($U$1/12*9),T27),T27),0)</f>
        <v>0</v>
      </c>
      <c r="P25" s="337"/>
      <c r="Q25" s="338">
        <f>((SUM(J23:N23)-SUM(J26:N26))/(CEILING($J$6*9,9)))*9</f>
        <v>0</v>
      </c>
      <c r="R25" s="196"/>
      <c r="S25" s="196"/>
      <c r="T25" s="328"/>
      <c r="V25" s="330"/>
    </row>
    <row r="26" spans="1:26" hidden="1" outlineLevel="1" x14ac:dyDescent="0.2">
      <c r="A26" s="458"/>
      <c r="B26" s="322">
        <f>J26/3*O26</f>
        <v>0</v>
      </c>
      <c r="C26" s="322">
        <f>IF($J$6&gt;1,IF($U$1&lt;&gt;0,IF(O26*(1+$O$6)&lt;=$U$1*0.25,O26*K26/3*(1+$O$6),$U$1*0.25*K26/3),O26*K26/3*(1+$O$6)),0)</f>
        <v>0</v>
      </c>
      <c r="D26" s="322">
        <f>IF($J$6&gt;2,IF($U$1&lt;&gt;0,IF(O26*(1+$O$6)^2&lt;=$U$1*0.25,O26*L26/3*(1+$O$6)^2,$U$1*0.25*L26/3),O26*L26/3*(1+$O$6)^2),0)</f>
        <v>0</v>
      </c>
      <c r="E26" s="322">
        <f>IF($J$6&gt;3,IF($U$1&lt;&gt;0,IF(O26*(1+$O$6)^3&lt;=$U$1*0.25,O26*M26/3*(1+$O$6)^3,$U$1*0.25*M26/3),O26*M26/3*(1+$O$6)^3),0)</f>
        <v>0</v>
      </c>
      <c r="F26" s="322">
        <f>IF($J$6&gt;4,IF($U$1&lt;&gt;0,IF(O26*(1+$O$6)^4&lt;=$U$1*0.25,O26*N26/3*(1+$O$6)^4,$U$1*0.25*N26/3),O26*N26/3*(1+$O$6)^4),0)</f>
        <v>0</v>
      </c>
      <c r="G26" s="318">
        <f>SUM(B26:F26)</f>
        <v>0</v>
      </c>
      <c r="H26" s="332"/>
      <c r="I26" s="324" t="s">
        <v>17</v>
      </c>
      <c r="J26" s="339">
        <v>0</v>
      </c>
      <c r="K26" s="339">
        <f>IF($J$6&gt;1,J26,0)</f>
        <v>0</v>
      </c>
      <c r="L26" s="339">
        <f>IF($J$6&gt;2,K26,0)</f>
        <v>0</v>
      </c>
      <c r="M26" s="339">
        <f>IF($J$6&gt;3,L26,0)</f>
        <v>0</v>
      </c>
      <c r="N26" s="339">
        <f>IF($J$6&gt;4,M26,0)</f>
        <v>0</v>
      </c>
      <c r="O26" s="334">
        <f>IF(U27="A",IF($U$1&lt;&gt;0,IF(T27*0.000731*456&gt;($U$1/12*3),($U$1/12*3),T27*0.000731*456),T27*0.000731*456),0)</f>
        <v>0</v>
      </c>
      <c r="P26" s="340"/>
      <c r="Q26" s="340">
        <f>((SUM(J23:N23)-SUM(J25:N25)*9)/(CEILING($J$6*3,3)))*3</f>
        <v>0</v>
      </c>
      <c r="R26" s="196"/>
      <c r="S26" s="196"/>
      <c r="V26" s="330"/>
    </row>
    <row r="27" spans="1:26" hidden="1" outlineLevel="1" x14ac:dyDescent="0.2">
      <c r="A27" s="321"/>
      <c r="B27" s="322"/>
      <c r="C27" s="322"/>
      <c r="D27" s="323"/>
      <c r="E27" s="323"/>
      <c r="F27" s="323"/>
      <c r="G27" s="341"/>
      <c r="H27" s="342"/>
      <c r="I27" s="343" t="s">
        <v>109</v>
      </c>
      <c r="J27" s="344">
        <f>SUM(B24:B26)*$V27</f>
        <v>0</v>
      </c>
      <c r="K27" s="344">
        <f>SUM(C24:C26)*$V27</f>
        <v>0</v>
      </c>
      <c r="L27" s="344">
        <f>SUM(D24:D26)*$V27</f>
        <v>0</v>
      </c>
      <c r="M27" s="344">
        <f>SUM(E24:E26)*$V27</f>
        <v>0</v>
      </c>
      <c r="N27" s="344">
        <f>SUM(F24:F26)*$V27</f>
        <v>0</v>
      </c>
      <c r="O27" s="345"/>
      <c r="P27" s="340"/>
      <c r="Q27" s="340"/>
      <c r="R27" s="196"/>
      <c r="S27" s="196"/>
      <c r="T27" s="346"/>
      <c r="U27" s="347"/>
      <c r="V27" s="348"/>
      <c r="W27" s="349"/>
    </row>
    <row r="28" spans="1:26" hidden="1" outlineLevel="1" x14ac:dyDescent="0.2">
      <c r="A28" s="446" t="s">
        <v>194</v>
      </c>
      <c r="B28" s="322"/>
      <c r="C28" s="323"/>
      <c r="D28" s="323"/>
      <c r="E28" s="323"/>
      <c r="F28" s="323"/>
      <c r="G28" s="318"/>
      <c r="I28" s="324" t="s">
        <v>128</v>
      </c>
      <c r="J28" s="325">
        <f>IF(U32="F",J29*12,SUM(J30*9,J31))</f>
        <v>0</v>
      </c>
      <c r="K28" s="325">
        <f>IF(U32="F",K29*12,SUM(K30*9,K31))</f>
        <v>0</v>
      </c>
      <c r="L28" s="325">
        <f>IF(U32="F",L29*12,SUM(L30*9,L31))</f>
        <v>0</v>
      </c>
      <c r="M28" s="325">
        <f>IF(U32="F",M29*12,SUM(M30*9,M31))</f>
        <v>0</v>
      </c>
      <c r="N28" s="325">
        <f>IF(U32="F",N29*12,SUM(N30*9,N31))</f>
        <v>0</v>
      </c>
      <c r="O28" s="311" t="s">
        <v>51</v>
      </c>
      <c r="P28" s="326" t="s">
        <v>126</v>
      </c>
      <c r="Q28" s="326" t="s">
        <v>127</v>
      </c>
      <c r="R28" s="327"/>
      <c r="S28" s="196"/>
      <c r="T28" s="328"/>
      <c r="V28" s="330"/>
    </row>
    <row r="29" spans="1:26" hidden="1" outlineLevel="1" x14ac:dyDescent="0.2">
      <c r="A29" s="331" t="str">
        <f>ROUND(P29*100, 2)&amp;"% Avg. Fiscal Effort, "&amp;ROUND(Q29, 2)&amp;" Avg. Calendar Months"</f>
        <v>0% Avg. Fiscal Effort, 0 Avg. Calendar Months</v>
      </c>
      <c r="B29" s="322">
        <f>O29*J29</f>
        <v>0</v>
      </c>
      <c r="C29" s="322">
        <f>IF($J$6&gt;1,IF($U$1&lt;&gt;0,IF(O29*(1+$O$6)&lt;=$U$1,O29*K29*(1+$O$6),$U$1*K29),O29*K29*(1+$O$6)),0)</f>
        <v>0</v>
      </c>
      <c r="D29" s="322">
        <f>IF($J$6&gt;2,IF($U$1&lt;&gt;0,IF(O29*(1+$O$6)^2&lt;=$U$1,O29*L29*(1+$O$6)^2,$U$1*L29),O29*L29*(1+$O$6)^2),0)</f>
        <v>0</v>
      </c>
      <c r="E29" s="322">
        <f>IF($J$6&gt;3,IF($U$1&lt;&gt;0,IF(O29*(1+$O$6)^3&lt;=$U$1,O29*M29*(1+$O$6)^3,$U$1*M29),O29*M29*(1+$O$6)^3),0)</f>
        <v>0</v>
      </c>
      <c r="F29" s="322">
        <f>IF($J$6&gt;4,IF($U$1&lt;&gt;0,IF(O29*(1+$O$6)^4&lt;=$U$1,O29*N29*(1+$O$6)^4,$U$1*N29),O29*N29*(1+$O$6)^4),0)</f>
        <v>0</v>
      </c>
      <c r="G29" s="318">
        <f>SUM(B29:F29)</f>
        <v>0</v>
      </c>
      <c r="H29" s="332"/>
      <c r="I29" s="324" t="s">
        <v>26</v>
      </c>
      <c r="J29" s="333">
        <v>0</v>
      </c>
      <c r="K29" s="333">
        <f>IF($J$6&gt;1,J29,0)</f>
        <v>0</v>
      </c>
      <c r="L29" s="333">
        <f>IF($J$6&gt;2,K29,0)</f>
        <v>0</v>
      </c>
      <c r="M29" s="333">
        <f>IF($J$6&gt;3,L29,0)</f>
        <v>0</v>
      </c>
      <c r="N29" s="333">
        <f>IF($J$6&gt;4,M29,0)</f>
        <v>0</v>
      </c>
      <c r="O29" s="334">
        <f>IF(U32="F",IF($U$1&lt;&gt;0,IF(T32&gt;$U$1,$U$1,T32),T32),0)</f>
        <v>0</v>
      </c>
      <c r="P29" s="292">
        <f>SUM(J28:N28)/(ROUNDUP($J$6,0)*12)</f>
        <v>0</v>
      </c>
      <c r="Q29" s="335">
        <f>(SUM(J28:N28)/(CEILING($J$6*12,12)))*12</f>
        <v>0</v>
      </c>
      <c r="T29" s="328"/>
      <c r="V29" s="330"/>
      <c r="X29" s="336"/>
    </row>
    <row r="30" spans="1:26" hidden="1" outlineLevel="1" x14ac:dyDescent="0.2">
      <c r="A30" s="458" t="str">
        <f>ROUND(P29*100,2)&amp;"% Annualized Effort, "&amp;ROUND(Q30,2)&amp;" Avg. Academic Months
"&amp;IF(SUM(J31:N31)&gt;0," and "&amp;Q31 &amp;" Avg. Summer Months", "")</f>
        <v xml:space="preserve">0% Annualized Effort, 0 Avg. Academic Months
</v>
      </c>
      <c r="B30" s="322">
        <f>J30*O30</f>
        <v>0</v>
      </c>
      <c r="C30" s="322">
        <f>IF($J$6&gt;1,IF($U$1&lt;&gt;0,IF(O30*(1+$O$6)&lt;=$U$1*0.75,O30*K30*(1+$O$6),$U$1*0.75*K30),O30*K30*(1+$O$6)),0)</f>
        <v>0</v>
      </c>
      <c r="D30" s="322">
        <f>IF($J$6&gt;2,IF($U$1&lt;&gt;0,IF(O30*(1+$O$6)^2&lt;=$U$1*0.75,O30*L30*(1+$O$6)^2,$U$1*0.75*L30),O30*L30*(1+$O$6)^2),0)</f>
        <v>0</v>
      </c>
      <c r="E30" s="322">
        <f>IF($J$6&gt;3,IF($U$1&lt;&gt;0,IF(O30*(1+$O$6)^3&lt;=$U$1*0.75,O30*M30*(1+$O$6)^3,$U$1*0.75*M30),O30*M30*(1+$O$6)^3),0)</f>
        <v>0</v>
      </c>
      <c r="F30" s="322">
        <f>IF($J$6&gt;4,IF($U$1&lt;&gt;0,IF(O30*(1+$O$6)^4&lt;=$U$1*0.75,O30*N30*(1+$O$6)^4,$U$1*0.75*N30),O30*N30*(1+$O$6)^4),0)</f>
        <v>0</v>
      </c>
      <c r="G30" s="318">
        <f>SUM(B30:F30)</f>
        <v>0</v>
      </c>
      <c r="H30" s="332"/>
      <c r="I30" s="324" t="s">
        <v>15</v>
      </c>
      <c r="J30" s="333">
        <v>0</v>
      </c>
      <c r="K30" s="333">
        <f>IF($J$6&gt;1,J30,0)</f>
        <v>0</v>
      </c>
      <c r="L30" s="333">
        <f>IF($J$6&gt;2,K30,0)</f>
        <v>0</v>
      </c>
      <c r="M30" s="333">
        <f>IF($J$6&gt;3,L30,0)</f>
        <v>0</v>
      </c>
      <c r="N30" s="333">
        <f>IF($J$6&gt;4,M30,0)</f>
        <v>0</v>
      </c>
      <c r="O30" s="334">
        <f>IF(U32="A",IF($U$1&lt;&gt;0,IF(T32&gt;($U$1/12*9),($U$1/12*9),T32),T32),0)</f>
        <v>0</v>
      </c>
      <c r="P30" s="337"/>
      <c r="Q30" s="338">
        <f>((SUM(J28:N28)-SUM(J31:N31))/(CEILING($J$6*9,9)))*9</f>
        <v>0</v>
      </c>
      <c r="R30" s="196"/>
      <c r="S30" s="196"/>
      <c r="T30" s="328"/>
      <c r="V30" s="330"/>
    </row>
    <row r="31" spans="1:26" hidden="1" outlineLevel="1" x14ac:dyDescent="0.2">
      <c r="A31" s="458"/>
      <c r="B31" s="322">
        <f>J31/3*O31</f>
        <v>0</v>
      </c>
      <c r="C31" s="322">
        <f>IF($J$6&gt;1,IF($U$1&lt;&gt;0,IF(O31*(1+$O$6)&lt;=$U$1*0.25,O31*K31/3*(1+$O$6),$U$1*0.25*K31/3),O31*K31/3*(1+$O$6)),0)</f>
        <v>0</v>
      </c>
      <c r="D31" s="322">
        <f>IF($J$6&gt;2,IF($U$1&lt;&gt;0,IF(O31*(1+$O$6)^2&lt;=$U$1*0.25,O31*L31/3*(1+$O$6)^2,$U$1*0.25*L31/3),O31*L31/3*(1+$O$6)^2),0)</f>
        <v>0</v>
      </c>
      <c r="E31" s="322">
        <f>IF($J$6&gt;3,IF($U$1&lt;&gt;0,IF(O31*(1+$O$6)^3&lt;=$U$1*0.25,O31*M31/3*(1+$O$6)^3,$U$1*0.25*M31/3),O31*M31/3*(1+$O$6)^3),0)</f>
        <v>0</v>
      </c>
      <c r="F31" s="322">
        <f>IF($J$6&gt;4,IF($U$1&lt;&gt;0,IF(O31*(1+$O$6)^4&lt;=$U$1*0.25,O31*N31/3*(1+$O$6)^4,$U$1*0.25*N31/3),O31*N31/3*(1+$O$6)^4),0)</f>
        <v>0</v>
      </c>
      <c r="G31" s="318">
        <f>SUM(B31:F31)</f>
        <v>0</v>
      </c>
      <c r="H31" s="332"/>
      <c r="I31" s="324" t="s">
        <v>17</v>
      </c>
      <c r="J31" s="339">
        <v>0</v>
      </c>
      <c r="K31" s="339">
        <f>IF($J$6&gt;1,J31,0)</f>
        <v>0</v>
      </c>
      <c r="L31" s="339">
        <f>IF($J$6&gt;2,K31,0)</f>
        <v>0</v>
      </c>
      <c r="M31" s="339">
        <f>IF($J$6&gt;3,L31,0)</f>
        <v>0</v>
      </c>
      <c r="N31" s="339">
        <f>IF($J$6&gt;4,M31,0)</f>
        <v>0</v>
      </c>
      <c r="O31" s="334">
        <f>IF(U32="A",IF($U$1&lt;&gt;0,IF(T32*0.000731*456&gt;($U$1/12*3),($U$1/12*3),T32*0.000731*456),T32*0.000731*456),0)</f>
        <v>0</v>
      </c>
      <c r="P31" s="340"/>
      <c r="Q31" s="340">
        <f>((SUM(J28:N28)-SUM(J30:N30)*9)/(CEILING($J$6*3,3)))*3</f>
        <v>0</v>
      </c>
      <c r="R31" s="196"/>
      <c r="S31" s="196"/>
      <c r="V31" s="330"/>
    </row>
    <row r="32" spans="1:26" hidden="1" outlineLevel="1" x14ac:dyDescent="0.2">
      <c r="A32" s="321"/>
      <c r="B32" s="322"/>
      <c r="C32" s="322"/>
      <c r="D32" s="323"/>
      <c r="E32" s="323"/>
      <c r="F32" s="323"/>
      <c r="G32" s="341"/>
      <c r="H32" s="342"/>
      <c r="I32" s="343" t="s">
        <v>109</v>
      </c>
      <c r="J32" s="344">
        <f>SUM(B29:B31)*$V32</f>
        <v>0</v>
      </c>
      <c r="K32" s="344">
        <f>SUM(C29:C31)*$V32</f>
        <v>0</v>
      </c>
      <c r="L32" s="344">
        <f>SUM(D29:D31)*$V32</f>
        <v>0</v>
      </c>
      <c r="M32" s="344">
        <f>SUM(E29:E31)*$V32</f>
        <v>0</v>
      </c>
      <c r="N32" s="344">
        <f>SUM(F29:F31)*$V32</f>
        <v>0</v>
      </c>
      <c r="O32" s="345"/>
      <c r="P32" s="340"/>
      <c r="Q32" s="340"/>
      <c r="R32" s="196"/>
      <c r="S32" s="196"/>
      <c r="T32" s="346"/>
      <c r="U32" s="347"/>
      <c r="V32" s="348"/>
      <c r="W32" s="349"/>
    </row>
    <row r="33" spans="1:24" hidden="1" outlineLevel="1" x14ac:dyDescent="0.2">
      <c r="A33" s="446" t="s">
        <v>194</v>
      </c>
      <c r="B33" s="322"/>
      <c r="C33" s="323"/>
      <c r="D33" s="323"/>
      <c r="E33" s="323"/>
      <c r="F33" s="323"/>
      <c r="G33" s="318"/>
      <c r="I33" s="324" t="s">
        <v>128</v>
      </c>
      <c r="J33" s="325">
        <f>IF(U37="F",J34*12,SUM(J35*9,J36))</f>
        <v>0</v>
      </c>
      <c r="K33" s="325">
        <f>IF(U37="F",K34*12,SUM(K35*9,K36))</f>
        <v>0</v>
      </c>
      <c r="L33" s="325">
        <f>IF(U37="F",L34*12,SUM(L35*9,L36))</f>
        <v>0</v>
      </c>
      <c r="M33" s="325">
        <f>IF(U37="F",M34*12,SUM(M35*9,M36))</f>
        <v>0</v>
      </c>
      <c r="N33" s="325">
        <f>IF(U37="F",N34*12,SUM(N35*9,N36))</f>
        <v>0</v>
      </c>
      <c r="O33" s="311" t="s">
        <v>51</v>
      </c>
      <c r="P33" s="326" t="s">
        <v>126</v>
      </c>
      <c r="Q33" s="326" t="s">
        <v>127</v>
      </c>
      <c r="R33" s="327"/>
      <c r="S33" s="196"/>
      <c r="T33" s="328"/>
      <c r="V33" s="330"/>
    </row>
    <row r="34" spans="1:24" hidden="1" outlineLevel="1" x14ac:dyDescent="0.2">
      <c r="A34" s="331" t="str">
        <f>ROUND(P34*100, 2)&amp;"% Avg. Fiscal Effort, "&amp;ROUND(Q34, 2)&amp;" Avg. Calendar Months"</f>
        <v>0% Avg. Fiscal Effort, 0 Avg. Calendar Months</v>
      </c>
      <c r="B34" s="322">
        <f>O34*J34</f>
        <v>0</v>
      </c>
      <c r="C34" s="322">
        <f>IF($J$6&gt;1,IF($U$1&lt;&gt;0,IF(O34*(1+$O$6)&lt;=$U$1,O34*K34*(1+$O$6),$U$1*K34),O34*K34*(1+$O$6)),0)</f>
        <v>0</v>
      </c>
      <c r="D34" s="322">
        <f>IF($J$6&gt;2,IF($U$1&lt;&gt;0,IF(O34*(1+$O$6)^2&lt;=$U$1,O34*L34*(1+$O$6)^2,$U$1*L34),O34*L34*(1+$O$6)^2),0)</f>
        <v>0</v>
      </c>
      <c r="E34" s="322">
        <f>IF($J$6&gt;3,IF($U$1&lt;&gt;0,IF(O34*(1+$O$6)^3&lt;=$U$1,O34*M34*(1+$O$6)^3,$U$1*M34),O34*M34*(1+$O$6)^3),0)</f>
        <v>0</v>
      </c>
      <c r="F34" s="322">
        <f>IF($J$6&gt;4,IF($U$1&lt;&gt;0,IF(O34*(1+$O$6)^4&lt;=$U$1,O34*N34*(1+$O$6)^4,$U$1*N34),O34*N34*(1+$O$6)^4),0)</f>
        <v>0</v>
      </c>
      <c r="G34" s="318">
        <f>SUM(B34:F34)</f>
        <v>0</v>
      </c>
      <c r="H34" s="332"/>
      <c r="I34" s="324" t="s">
        <v>26</v>
      </c>
      <c r="J34" s="333">
        <v>0</v>
      </c>
      <c r="K34" s="333">
        <f>IF($J$6&gt;1,J34,0)</f>
        <v>0</v>
      </c>
      <c r="L34" s="333">
        <f>IF($J$6&gt;2,K34,0)</f>
        <v>0</v>
      </c>
      <c r="M34" s="333">
        <f>IF($J$6&gt;3,L34,0)</f>
        <v>0</v>
      </c>
      <c r="N34" s="333">
        <f>IF($J$6&gt;4,M34,0)</f>
        <v>0</v>
      </c>
      <c r="O34" s="334">
        <f>IF(U37="F",IF($U$1&lt;&gt;0,IF(T37&gt;$U$1,$U$1,T37),T37),0)</f>
        <v>0</v>
      </c>
      <c r="P34" s="292">
        <f>SUM(J33:N33)/(ROUNDUP($J$6,0)*12)</f>
        <v>0</v>
      </c>
      <c r="Q34" s="335">
        <f>(SUM(J33:N33)/(CEILING($J$6*12,12)))*12</f>
        <v>0</v>
      </c>
      <c r="T34" s="328"/>
      <c r="V34" s="330"/>
      <c r="X34" s="336"/>
    </row>
    <row r="35" spans="1:24" hidden="1" outlineLevel="1" x14ac:dyDescent="0.2">
      <c r="A35" s="458" t="str">
        <f>ROUND(P34*100,2)&amp;"% Annualized Effort, "&amp;ROUND(Q35,2)&amp;" Avg. Academic Months
"&amp;IF(SUM(J36:N36)&gt;0," and "&amp;Q36 &amp;" Avg. Summer Months", "")</f>
        <v xml:space="preserve">0% Annualized Effort, 0 Avg. Academic Months
</v>
      </c>
      <c r="B35" s="322">
        <f>J35*O35</f>
        <v>0</v>
      </c>
      <c r="C35" s="322">
        <f>IF($J$6&gt;1,IF($U$1&lt;&gt;0,IF(O35*(1+$O$6)&lt;=$U$1*0.75,O35*K35*(1+$O$6),$U$1*0.75*K35),O35*K35*(1+$O$6)),0)</f>
        <v>0</v>
      </c>
      <c r="D35" s="322">
        <f>IF($J$6&gt;2,IF($U$1&lt;&gt;0,IF(O35*(1+$O$6)^2&lt;=$U$1*0.75,O35*L35*(1+$O$6)^2,$U$1*0.75*L35),O35*L35*(1+$O$6)^2),0)</f>
        <v>0</v>
      </c>
      <c r="E35" s="322">
        <f>IF($J$6&gt;3,IF($U$1&lt;&gt;0,IF(O35*(1+$O$6)^3&lt;=$U$1*0.75,O35*M35*(1+$O$6)^3,$U$1*0.75*M35),O35*M35*(1+$O$6)^3),0)</f>
        <v>0</v>
      </c>
      <c r="F35" s="322">
        <f>IF($J$6&gt;4,IF($U$1&lt;&gt;0,IF(O35*(1+$O$6)^4&lt;=$U$1*0.75,O35*N35*(1+$O$6)^4,$U$1*0.75*N35),O35*N35*(1+$O$6)^4),0)</f>
        <v>0</v>
      </c>
      <c r="G35" s="318">
        <f>SUM(B35:F35)</f>
        <v>0</v>
      </c>
      <c r="H35" s="332"/>
      <c r="I35" s="324" t="s">
        <v>15</v>
      </c>
      <c r="J35" s="333">
        <v>0</v>
      </c>
      <c r="K35" s="333">
        <f>IF($J$6&gt;1,J35,0)</f>
        <v>0</v>
      </c>
      <c r="L35" s="333">
        <f>IF($J$6&gt;2,K35,0)</f>
        <v>0</v>
      </c>
      <c r="M35" s="333">
        <f>IF($J$6&gt;3,L35,0)</f>
        <v>0</v>
      </c>
      <c r="N35" s="333">
        <f>IF($J$6&gt;4,M35,0)</f>
        <v>0</v>
      </c>
      <c r="O35" s="334">
        <f>IF(U37="A",IF($U$1&lt;&gt;0,IF(T37&gt;($U$1/12*9),($U$1/12*9),T37),T37),0)</f>
        <v>0</v>
      </c>
      <c r="P35" s="337"/>
      <c r="Q35" s="338">
        <f>((SUM(J33:N33)-SUM(J36:N36))/(CEILING($J$6*9,9)))*9</f>
        <v>0</v>
      </c>
      <c r="R35" s="196"/>
      <c r="S35" s="196"/>
      <c r="T35" s="328"/>
      <c r="V35" s="330"/>
    </row>
    <row r="36" spans="1:24" hidden="1" outlineLevel="1" x14ac:dyDescent="0.2">
      <c r="A36" s="458"/>
      <c r="B36" s="322">
        <f>J36/3*O36</f>
        <v>0</v>
      </c>
      <c r="C36" s="322">
        <f>IF($J$6&gt;1,IF($U$1&lt;&gt;0,IF(O36*(1+$O$6)&lt;=$U$1*0.25,O36*K36/3*(1+$O$6),$U$1*0.25*K36/3),O36*K36/3*(1+$O$6)),0)</f>
        <v>0</v>
      </c>
      <c r="D36" s="322">
        <f>IF($J$6&gt;2,IF($U$1&lt;&gt;0,IF(O36*(1+$O$6)^2&lt;=$U$1*0.25,O36*L36/3*(1+$O$6)^2,$U$1*0.25*L36/3),O36*L36/3*(1+$O$6)^2),0)</f>
        <v>0</v>
      </c>
      <c r="E36" s="322">
        <f>IF($J$6&gt;3,IF($U$1&lt;&gt;0,IF(O36*(1+$O$6)^3&lt;=$U$1*0.25,O36*M36/3*(1+$O$6)^3,$U$1*0.25*M36/3),O36*M36/3*(1+$O$6)^3),0)</f>
        <v>0</v>
      </c>
      <c r="F36" s="322">
        <f>IF($J$6&gt;4,IF($U$1&lt;&gt;0,IF(O36*(1+$O$6)^4&lt;=$U$1*0.25,O36*N36/3*(1+$O$6)^4,$U$1*0.25*N36/3),O36*N36/3*(1+$O$6)^4),0)</f>
        <v>0</v>
      </c>
      <c r="G36" s="318">
        <f>SUM(B36:F36)</f>
        <v>0</v>
      </c>
      <c r="H36" s="332"/>
      <c r="I36" s="324" t="s">
        <v>17</v>
      </c>
      <c r="J36" s="339">
        <v>0</v>
      </c>
      <c r="K36" s="339">
        <f>IF($J$6&gt;1,J36,0)</f>
        <v>0</v>
      </c>
      <c r="L36" s="339">
        <f>IF($J$6&gt;2,K36,0)</f>
        <v>0</v>
      </c>
      <c r="M36" s="339">
        <f>IF($J$6&gt;3,L36,0)</f>
        <v>0</v>
      </c>
      <c r="N36" s="339">
        <f>IF($J$6&gt;4,M36,0)</f>
        <v>0</v>
      </c>
      <c r="O36" s="334">
        <f>IF(U37="A",IF($U$1&lt;&gt;0,IF(T37*0.000731*456&gt;($U$1/12*3),($U$1/12*3),T37*0.000731*456),T37*0.000731*456),0)</f>
        <v>0</v>
      </c>
      <c r="P36" s="340"/>
      <c r="Q36" s="340">
        <f>((SUM(J33:N33)-SUM(J35:N35)*9)/(CEILING($J$6*3,3)))*3</f>
        <v>0</v>
      </c>
      <c r="R36" s="196"/>
      <c r="S36" s="196"/>
      <c r="V36" s="330"/>
    </row>
    <row r="37" spans="1:24" hidden="1" outlineLevel="1" x14ac:dyDescent="0.2">
      <c r="A37" s="321"/>
      <c r="B37" s="322"/>
      <c r="C37" s="322"/>
      <c r="D37" s="323"/>
      <c r="E37" s="323"/>
      <c r="F37" s="323"/>
      <c r="G37" s="341"/>
      <c r="H37" s="342"/>
      <c r="I37" s="343" t="s">
        <v>109</v>
      </c>
      <c r="J37" s="344">
        <f>SUM(B34:B36)*$V37</f>
        <v>0</v>
      </c>
      <c r="K37" s="344">
        <f>SUM(C34:C36)*$V37</f>
        <v>0</v>
      </c>
      <c r="L37" s="344">
        <f>SUM(D34:D36)*$V37</f>
        <v>0</v>
      </c>
      <c r="M37" s="344">
        <f>SUM(E34:E36)*$V37</f>
        <v>0</v>
      </c>
      <c r="N37" s="344">
        <f>SUM(F34:F36)*$V37</f>
        <v>0</v>
      </c>
      <c r="O37" s="345"/>
      <c r="P37" s="340"/>
      <c r="Q37" s="340"/>
      <c r="R37" s="196"/>
      <c r="S37" s="196"/>
      <c r="T37" s="346"/>
      <c r="U37" s="347"/>
      <c r="V37" s="348"/>
      <c r="W37" s="349"/>
    </row>
    <row r="38" spans="1:24" hidden="1" outlineLevel="1" x14ac:dyDescent="0.2">
      <c r="A38" s="446" t="s">
        <v>194</v>
      </c>
      <c r="B38" s="322"/>
      <c r="C38" s="323"/>
      <c r="D38" s="323"/>
      <c r="E38" s="323"/>
      <c r="F38" s="323"/>
      <c r="G38" s="318"/>
      <c r="I38" s="324" t="s">
        <v>128</v>
      </c>
      <c r="J38" s="325">
        <f>IF(U42="F",J39*12,SUM(J40*9,J41))</f>
        <v>0</v>
      </c>
      <c r="K38" s="325">
        <f>IF(U42="F",K39*12,SUM(K40*9,K41))</f>
        <v>0</v>
      </c>
      <c r="L38" s="325">
        <f>IF(U42="F",L39*12,SUM(L40*9,L41))</f>
        <v>0</v>
      </c>
      <c r="M38" s="325">
        <f>IF(U42="F",M39*12,SUM(M40*9,M41))</f>
        <v>0</v>
      </c>
      <c r="N38" s="325">
        <f>IF(U42="F",N39*12,SUM(N40*9,N41))</f>
        <v>0</v>
      </c>
      <c r="O38" s="311" t="s">
        <v>51</v>
      </c>
      <c r="P38" s="326" t="s">
        <v>126</v>
      </c>
      <c r="Q38" s="326" t="s">
        <v>127</v>
      </c>
      <c r="R38" s="327"/>
      <c r="S38" s="196"/>
      <c r="T38" s="328"/>
      <c r="V38" s="330"/>
    </row>
    <row r="39" spans="1:24" hidden="1" outlineLevel="1" x14ac:dyDescent="0.2">
      <c r="A39" s="331" t="str">
        <f>ROUND(P39*100, 2)&amp;"% Avg. Fiscal Effort, "&amp;ROUND(Q39, 2)&amp;" Avg. Calendar Months"</f>
        <v>0% Avg. Fiscal Effort, 0 Avg. Calendar Months</v>
      </c>
      <c r="B39" s="322">
        <f>O39*J39</f>
        <v>0</v>
      </c>
      <c r="C39" s="322">
        <f>IF($J$6&gt;1,IF($U$1&lt;&gt;0,IF(O39*(1+$O$6)&lt;=$U$1,O39*K39*(1+$O$6),$U$1*K39),O39*K39*(1+$O$6)),0)</f>
        <v>0</v>
      </c>
      <c r="D39" s="322">
        <f>IF($J$6&gt;2,IF($U$1&lt;&gt;0,IF(O39*(1+$O$6)^2&lt;=$U$1,O39*L39*(1+$O$6)^2,$U$1*L39),O39*L39*(1+$O$6)^2),0)</f>
        <v>0</v>
      </c>
      <c r="E39" s="322">
        <f>IF($J$6&gt;3,IF($U$1&lt;&gt;0,IF(O39*(1+$O$6)^3&lt;=$U$1,O39*M39*(1+$O$6)^3,$U$1*M39),O39*M39*(1+$O$6)^3),0)</f>
        <v>0</v>
      </c>
      <c r="F39" s="322">
        <f>IF($J$6&gt;4,IF($U$1&lt;&gt;0,IF(O39*(1+$O$6)^4&lt;=$U$1,O39*N39*(1+$O$6)^4,$U$1*N39),O39*N39*(1+$O$6)^4),0)</f>
        <v>0</v>
      </c>
      <c r="G39" s="318">
        <f>SUM(B39:F39)</f>
        <v>0</v>
      </c>
      <c r="H39" s="332"/>
      <c r="I39" s="324" t="s">
        <v>26</v>
      </c>
      <c r="J39" s="333">
        <v>0</v>
      </c>
      <c r="K39" s="333">
        <f>IF($J$6&gt;1,J39,0)</f>
        <v>0</v>
      </c>
      <c r="L39" s="333">
        <f>IF($J$6&gt;2,K39,0)</f>
        <v>0</v>
      </c>
      <c r="M39" s="333">
        <f>IF($J$6&gt;3,L39,0)</f>
        <v>0</v>
      </c>
      <c r="N39" s="333">
        <f>IF($J$6&gt;4,M39,0)</f>
        <v>0</v>
      </c>
      <c r="O39" s="334">
        <f>IF(U42="F",IF($U$1&lt;&gt;0,IF(T42&gt;$U$1,$U$1,T42),T42),0)</f>
        <v>0</v>
      </c>
      <c r="P39" s="292">
        <f>SUM(J38:N38)/(ROUNDUP($J$6,0)*12)</f>
        <v>0</v>
      </c>
      <c r="Q39" s="335">
        <f>(SUM(J38:N38)/(CEILING($J$6*12,12)))*12</f>
        <v>0</v>
      </c>
      <c r="T39" s="328"/>
      <c r="V39" s="330"/>
      <c r="X39" s="336"/>
    </row>
    <row r="40" spans="1:24" hidden="1" outlineLevel="1" x14ac:dyDescent="0.2">
      <c r="A40" s="458" t="str">
        <f>ROUND(P39*100,2)&amp;"% Annualized Effort, "&amp;ROUND(Q40,2)&amp;" Avg. Academic Months
"&amp;IF(SUM(J41:N41)&gt;0," and "&amp;Q41 &amp;" Avg. Summer Months", "")</f>
        <v xml:space="preserve">0% Annualized Effort, 0 Avg. Academic Months
</v>
      </c>
      <c r="B40" s="322">
        <f>J40*O40</f>
        <v>0</v>
      </c>
      <c r="C40" s="322">
        <f>IF($J$6&gt;1,IF($U$1&lt;&gt;0,IF(O40*(1+$O$6)&lt;=$U$1*0.75,O40*K40*(1+$O$6),$U$1*0.75*K40),O40*K40*(1+$O$6)),0)</f>
        <v>0</v>
      </c>
      <c r="D40" s="322">
        <f>IF($J$6&gt;2,IF($U$1&lt;&gt;0,IF(O40*(1+$O$6)^2&lt;=$U$1*0.75,O40*L40*(1+$O$6)^2,$U$1*0.75*L40),O40*L40*(1+$O$6)^2),0)</f>
        <v>0</v>
      </c>
      <c r="E40" s="322">
        <f>IF($J$6&gt;3,IF($U$1&lt;&gt;0,IF(O40*(1+$O$6)^3&lt;=$U$1*0.75,O40*M40*(1+$O$6)^3,$U$1*0.75*M40),O40*M40*(1+$O$6)^3),0)</f>
        <v>0</v>
      </c>
      <c r="F40" s="322">
        <f>IF($J$6&gt;4,IF($U$1&lt;&gt;0,IF(O40*(1+$O$6)^4&lt;=$U$1*0.75,O40*N40*(1+$O$6)^4,$U$1*0.75*N40),O40*N40*(1+$O$6)^4),0)</f>
        <v>0</v>
      </c>
      <c r="G40" s="318">
        <f>SUM(B40:F40)</f>
        <v>0</v>
      </c>
      <c r="H40" s="332"/>
      <c r="I40" s="324" t="s">
        <v>15</v>
      </c>
      <c r="J40" s="333">
        <v>0</v>
      </c>
      <c r="K40" s="333">
        <f>IF($J$6&gt;1,J40,0)</f>
        <v>0</v>
      </c>
      <c r="L40" s="333">
        <f>IF($J$6&gt;2,K40,0)</f>
        <v>0</v>
      </c>
      <c r="M40" s="333">
        <f>IF($J$6&gt;3,L40,0)</f>
        <v>0</v>
      </c>
      <c r="N40" s="333">
        <f>IF($J$6&gt;4,M40,0)</f>
        <v>0</v>
      </c>
      <c r="O40" s="334">
        <f>IF(U42="A",IF($U$1&lt;&gt;0,IF(T42&gt;($U$1/12*9),($U$1/12*9),T42),T42),0)</f>
        <v>0</v>
      </c>
      <c r="P40" s="337"/>
      <c r="Q40" s="338">
        <f>((SUM(J38:N38)-SUM(J41:N41))/(CEILING($J$6*9,9)))*9</f>
        <v>0</v>
      </c>
      <c r="R40" s="196"/>
      <c r="S40" s="196"/>
      <c r="T40" s="328"/>
      <c r="V40" s="330"/>
    </row>
    <row r="41" spans="1:24" hidden="1" outlineLevel="1" x14ac:dyDescent="0.2">
      <c r="A41" s="458"/>
      <c r="B41" s="322">
        <f>J41/3*O41</f>
        <v>0</v>
      </c>
      <c r="C41" s="322">
        <f>IF($J$6&gt;1,IF($U$1&lt;&gt;0,IF(O41*(1+$O$6)&lt;=$U$1*0.25,O41*K41/3*(1+$O$6),$U$1*0.25*K41/3),O41*K41/3*(1+$O$6)),0)</f>
        <v>0</v>
      </c>
      <c r="D41" s="322">
        <f>IF($J$6&gt;2,IF($U$1&lt;&gt;0,IF(O41*(1+$O$6)^2&lt;=$U$1*0.25,O41*L41/3*(1+$O$6)^2,$U$1*0.25*L41/3),O41*L41/3*(1+$O$6)^2),0)</f>
        <v>0</v>
      </c>
      <c r="E41" s="322">
        <f>IF($J$6&gt;3,IF($U$1&lt;&gt;0,IF(O41*(1+$O$6)^3&lt;=$U$1*0.25,O41*M41/3*(1+$O$6)^3,$U$1*0.25*M41/3),O41*M41/3*(1+$O$6)^3),0)</f>
        <v>0</v>
      </c>
      <c r="F41" s="322">
        <f>IF($J$6&gt;4,IF($U$1&lt;&gt;0,IF(O41*(1+$O$6)^4&lt;=$U$1*0.25,O41*N41/3*(1+$O$6)^4,$U$1*0.25*N41/3),O41*N41/3*(1+$O$6)^4),0)</f>
        <v>0</v>
      </c>
      <c r="G41" s="318">
        <f>SUM(B41:F41)</f>
        <v>0</v>
      </c>
      <c r="H41" s="332"/>
      <c r="I41" s="324" t="s">
        <v>17</v>
      </c>
      <c r="J41" s="339">
        <v>0</v>
      </c>
      <c r="K41" s="339">
        <f>IF($J$6&gt;1,J41,0)</f>
        <v>0</v>
      </c>
      <c r="L41" s="339">
        <f>IF($J$6&gt;2,K41,0)</f>
        <v>0</v>
      </c>
      <c r="M41" s="339">
        <f>IF($J$6&gt;3,L41,0)</f>
        <v>0</v>
      </c>
      <c r="N41" s="339">
        <f>IF($J$6&gt;4,M41,0)</f>
        <v>0</v>
      </c>
      <c r="O41" s="334">
        <f>IF(U42="A",IF($U$1&lt;&gt;0,IF(T42*0.000731*456&gt;($U$1/12*3),($U$1/12*3),T42*0.000731*456),T42*0.000731*456),0)</f>
        <v>0</v>
      </c>
      <c r="P41" s="340"/>
      <c r="Q41" s="340">
        <f>((SUM(J38:N38)-SUM(J40:N40)*9)/(CEILING($J$6*3,3)))*3</f>
        <v>0</v>
      </c>
      <c r="R41" s="196"/>
      <c r="S41" s="196"/>
      <c r="V41" s="330"/>
    </row>
    <row r="42" spans="1:24" hidden="1" outlineLevel="1" x14ac:dyDescent="0.2">
      <c r="A42" s="321"/>
      <c r="B42" s="322"/>
      <c r="C42" s="322"/>
      <c r="D42" s="323"/>
      <c r="E42" s="323"/>
      <c r="F42" s="323"/>
      <c r="G42" s="341"/>
      <c r="H42" s="342"/>
      <c r="I42" s="343" t="s">
        <v>109</v>
      </c>
      <c r="J42" s="344">
        <f>SUM(B39:B41)*$V42</f>
        <v>0</v>
      </c>
      <c r="K42" s="344">
        <f>SUM(C39:C41)*$V42</f>
        <v>0</v>
      </c>
      <c r="L42" s="344">
        <f>SUM(D39:D41)*$V42</f>
        <v>0</v>
      </c>
      <c r="M42" s="344">
        <f>SUM(E39:E41)*$V42</f>
        <v>0</v>
      </c>
      <c r="N42" s="344">
        <f>SUM(F39:F41)*$V42</f>
        <v>0</v>
      </c>
      <c r="O42" s="345"/>
      <c r="P42" s="340"/>
      <c r="Q42" s="340"/>
      <c r="R42" s="196"/>
      <c r="S42" s="196"/>
      <c r="T42" s="346"/>
      <c r="U42" s="347"/>
      <c r="V42" s="348"/>
      <c r="W42" s="349"/>
    </row>
    <row r="43" spans="1:24" hidden="1" outlineLevel="1" x14ac:dyDescent="0.2">
      <c r="A43" s="446" t="s">
        <v>194</v>
      </c>
      <c r="B43" s="322"/>
      <c r="C43" s="323"/>
      <c r="D43" s="323"/>
      <c r="E43" s="323"/>
      <c r="F43" s="323"/>
      <c r="G43" s="318"/>
      <c r="I43" s="324" t="s">
        <v>128</v>
      </c>
      <c r="J43" s="325">
        <f>IF(U47="F",J44*12,SUM(J45*9,J46))</f>
        <v>0</v>
      </c>
      <c r="K43" s="325">
        <f>IF(U47="F",K44*12,SUM(K45*9,K46))</f>
        <v>0</v>
      </c>
      <c r="L43" s="325">
        <f>IF(U47="F",L44*12,SUM(L45*9,L46))</f>
        <v>0</v>
      </c>
      <c r="M43" s="325">
        <f>IF(U47="F",M44*12,SUM(M45*9,M46))</f>
        <v>0</v>
      </c>
      <c r="N43" s="325">
        <f>IF(U47="F",N44*12,SUM(N45*9,N46))</f>
        <v>0</v>
      </c>
      <c r="O43" s="311" t="s">
        <v>51</v>
      </c>
      <c r="P43" s="326" t="s">
        <v>126</v>
      </c>
      <c r="Q43" s="326" t="s">
        <v>127</v>
      </c>
      <c r="R43" s="327"/>
      <c r="S43" s="196"/>
      <c r="T43" s="328"/>
      <c r="V43" s="330"/>
    </row>
    <row r="44" spans="1:24" hidden="1" outlineLevel="1" x14ac:dyDescent="0.2">
      <c r="A44" s="331" t="str">
        <f>ROUND(P44*100, 2)&amp;"% Avg. Fiscal Effort, "&amp;ROUND(Q44, 2)&amp;" Avg. Calendar Months"</f>
        <v>0% Avg. Fiscal Effort, 0 Avg. Calendar Months</v>
      </c>
      <c r="B44" s="322">
        <f>O44*J44</f>
        <v>0</v>
      </c>
      <c r="C44" s="322">
        <f>IF($J$6&gt;1,IF($U$1&lt;&gt;0,IF(O44*(1+$O$6)&lt;=$U$1,O44*K44*(1+$O$6),$U$1*K44),O44*K44*(1+$O$6)),0)</f>
        <v>0</v>
      </c>
      <c r="D44" s="322">
        <f>IF($J$6&gt;2,IF($U$1&lt;&gt;0,IF(O44*(1+$O$6)^2&lt;=$U$1,O44*L44*(1+$O$6)^2,$U$1*L44),O44*L44*(1+$O$6)^2),0)</f>
        <v>0</v>
      </c>
      <c r="E44" s="322">
        <f>IF($J$6&gt;3,IF($U$1&lt;&gt;0,IF(O44*(1+$O$6)^3&lt;=$U$1,O44*M44*(1+$O$6)^3,$U$1*M44),O44*M44*(1+$O$6)^3),0)</f>
        <v>0</v>
      </c>
      <c r="F44" s="322">
        <f>IF($J$6&gt;4,IF($U$1&lt;&gt;0,IF(O44*(1+$O$6)^4&lt;=$U$1,O44*N44*(1+$O$6)^4,$U$1*N44),O44*N44*(1+$O$6)^4),0)</f>
        <v>0</v>
      </c>
      <c r="G44" s="318">
        <f>SUM(B44:F44)</f>
        <v>0</v>
      </c>
      <c r="H44" s="332"/>
      <c r="I44" s="324" t="s">
        <v>26</v>
      </c>
      <c r="J44" s="333">
        <v>0</v>
      </c>
      <c r="K44" s="333">
        <f>IF($J$6&gt;1,J44,0)</f>
        <v>0</v>
      </c>
      <c r="L44" s="333">
        <f>IF($J$6&gt;2,K44,0)</f>
        <v>0</v>
      </c>
      <c r="M44" s="333">
        <f>IF($J$6&gt;3,L44,0)</f>
        <v>0</v>
      </c>
      <c r="N44" s="333">
        <f>IF($J$6&gt;4,M44,0)</f>
        <v>0</v>
      </c>
      <c r="O44" s="334">
        <f>IF(U47="F",IF($U$1&lt;&gt;0,IF(T47&gt;$U$1,$U$1,T47),T47),0)</f>
        <v>0</v>
      </c>
      <c r="P44" s="292">
        <f>SUM(J43:N43)/(ROUNDUP($J$6,0)*12)</f>
        <v>0</v>
      </c>
      <c r="Q44" s="335">
        <f>(SUM(J43:N43)/(CEILING($J$6*12,12)))*12</f>
        <v>0</v>
      </c>
      <c r="T44" s="328"/>
      <c r="V44" s="330"/>
      <c r="X44" s="336"/>
    </row>
    <row r="45" spans="1:24" ht="15.75" hidden="1" customHeight="1" outlineLevel="1" x14ac:dyDescent="0.2">
      <c r="A45" s="458" t="str">
        <f>ROUND(P44*100,2)&amp;"% Annualized Effort, "&amp;ROUND(Q45,2)&amp;" Avg. Academic Months
"&amp;IF(SUM(J46:N46)&gt;0," and "&amp;Q46 &amp;" Avg. Summer Months", "")</f>
        <v xml:space="preserve">0% Annualized Effort, 0 Avg. Academic Months
</v>
      </c>
      <c r="B45" s="322">
        <f>J45*O45</f>
        <v>0</v>
      </c>
      <c r="C45" s="322">
        <f>IF($J$6&gt;1,IF($U$1&lt;&gt;0,IF(O45*(1+$O$6)&lt;=$U$1*0.75,O45*K45*(1+$O$6),$U$1*0.75*K45),O45*K45*(1+$O$6)),0)</f>
        <v>0</v>
      </c>
      <c r="D45" s="322">
        <f>IF($J$6&gt;2,IF($U$1&lt;&gt;0,IF(O45*(1+$O$6)^2&lt;=$U$1*0.75,O45*L45*(1+$O$6)^2,$U$1*0.75*L45),O45*L45*(1+$O$6)^2),0)</f>
        <v>0</v>
      </c>
      <c r="E45" s="322">
        <f>IF($J$6&gt;3,IF($U$1&lt;&gt;0,IF(O45*(1+$O$6)^3&lt;=$U$1*0.75,O45*M45*(1+$O$6)^3,$U$1*0.75*M45),O45*M45*(1+$O$6)^3),0)</f>
        <v>0</v>
      </c>
      <c r="F45" s="322">
        <f>IF($J$6&gt;4,IF($U$1&lt;&gt;0,IF(O45*(1+$O$6)^4&lt;=$U$1*0.75,O45*N45*(1+$O$6)^4,$U$1*0.75*N45),O45*N45*(1+$O$6)^4),0)</f>
        <v>0</v>
      </c>
      <c r="G45" s="318">
        <f>SUM(B45:F45)</f>
        <v>0</v>
      </c>
      <c r="H45" s="332"/>
      <c r="I45" s="324" t="s">
        <v>15</v>
      </c>
      <c r="J45" s="333">
        <v>0</v>
      </c>
      <c r="K45" s="333">
        <f>IF($J$6&gt;1,J45,0)</f>
        <v>0</v>
      </c>
      <c r="L45" s="333">
        <f>IF($J$6&gt;2,K45,0)</f>
        <v>0</v>
      </c>
      <c r="M45" s="333">
        <f>IF($J$6&gt;3,L45,0)</f>
        <v>0</v>
      </c>
      <c r="N45" s="333">
        <f>IF($J$6&gt;4,M45,0)</f>
        <v>0</v>
      </c>
      <c r="O45" s="334">
        <f>IF(U47="A",IF($U$1&lt;&gt;0,IF(T47&gt;($U$1/12*9),($U$1/12*9),T47),T47),0)</f>
        <v>0</v>
      </c>
      <c r="P45" s="337"/>
      <c r="Q45" s="338">
        <f>((SUM(J43:N43)-SUM(J46:N46))/(CEILING($J$6*9,9)))*9</f>
        <v>0</v>
      </c>
      <c r="R45" s="196"/>
      <c r="S45" s="196"/>
      <c r="T45" s="328"/>
      <c r="V45" s="330"/>
    </row>
    <row r="46" spans="1:24" hidden="1" outlineLevel="1" x14ac:dyDescent="0.2">
      <c r="A46" s="458"/>
      <c r="B46" s="322">
        <f>J46/3*O46</f>
        <v>0</v>
      </c>
      <c r="C46" s="322">
        <f>IF($J$6&gt;1,IF($U$1&lt;&gt;0,IF(O46*(1+$O$6)&lt;=$U$1*0.25,O46*K46/3*(1+$O$6),$U$1*0.25*K46/3),O46*K46/3*(1+$O$6)),0)</f>
        <v>0</v>
      </c>
      <c r="D46" s="322">
        <f>IF($J$6&gt;2,IF($U$1&lt;&gt;0,IF(O46*(1+$O$6)^2&lt;=$U$1*0.25,O46*L46/3*(1+$O$6)^2,$U$1*0.25*L46/3),O46*L46/3*(1+$O$6)^2),0)</f>
        <v>0</v>
      </c>
      <c r="E46" s="322">
        <f>IF($J$6&gt;3,IF($U$1&lt;&gt;0,IF(O46*(1+$O$6)^3&lt;=$U$1*0.25,O46*M46/3*(1+$O$6)^3,$U$1*0.25*M46/3),O46*M46/3*(1+$O$6)^3),0)</f>
        <v>0</v>
      </c>
      <c r="F46" s="322">
        <f>IF($J$6&gt;4,IF($U$1&lt;&gt;0,IF(O46*(1+$O$6)^4&lt;=$U$1*0.25,O46*N46/3*(1+$O$6)^4,$U$1*0.25*N46/3),O46*N46/3*(1+$O$6)^4),0)</f>
        <v>0</v>
      </c>
      <c r="G46" s="318">
        <f>SUM(B46:F46)</f>
        <v>0</v>
      </c>
      <c r="H46" s="332"/>
      <c r="I46" s="324" t="s">
        <v>17</v>
      </c>
      <c r="J46" s="339">
        <v>0</v>
      </c>
      <c r="K46" s="339">
        <f>IF($J$6&gt;1,J46,0)</f>
        <v>0</v>
      </c>
      <c r="L46" s="339">
        <f>IF($J$6&gt;2,K46,0)</f>
        <v>0</v>
      </c>
      <c r="M46" s="339">
        <f>IF($J$6&gt;3,L46,0)</f>
        <v>0</v>
      </c>
      <c r="N46" s="339">
        <f>IF($J$6&gt;4,M46,0)</f>
        <v>0</v>
      </c>
      <c r="O46" s="334">
        <f>IF(U47="A",IF($U$1&lt;&gt;0,IF(T47*0.000731*456&gt;($U$1/12*3),($U$1/12*3),T47*0.000731*456),T47*0.000731*456),0)</f>
        <v>0</v>
      </c>
      <c r="P46" s="340"/>
      <c r="Q46" s="340">
        <f>((SUM(J43:N43)-SUM(J45:N45)*9)/(CEILING($J$6*3,3)))*3</f>
        <v>0</v>
      </c>
      <c r="R46" s="196"/>
      <c r="S46" s="196"/>
      <c r="V46" s="330"/>
    </row>
    <row r="47" spans="1:24" hidden="1" outlineLevel="1" x14ac:dyDescent="0.2">
      <c r="A47" s="321"/>
      <c r="B47" s="322"/>
      <c r="C47" s="322"/>
      <c r="D47" s="323"/>
      <c r="E47" s="323"/>
      <c r="F47" s="323"/>
      <c r="G47" s="341"/>
      <c r="H47" s="342"/>
      <c r="I47" s="343" t="s">
        <v>109</v>
      </c>
      <c r="J47" s="344">
        <f>SUM(B44:B46)*$V47</f>
        <v>0</v>
      </c>
      <c r="K47" s="344">
        <f>SUM(C44:C46)*$V47</f>
        <v>0</v>
      </c>
      <c r="L47" s="344">
        <f>SUM(D44:D46)*$V47</f>
        <v>0</v>
      </c>
      <c r="M47" s="344">
        <f>SUM(E44:E46)*$V47</f>
        <v>0</v>
      </c>
      <c r="N47" s="344">
        <f>SUM(F44:F46)*$V47</f>
        <v>0</v>
      </c>
      <c r="O47" s="345"/>
      <c r="P47" s="340"/>
      <c r="Q47" s="340"/>
      <c r="R47" s="196"/>
      <c r="S47" s="196"/>
      <c r="T47" s="346"/>
      <c r="U47" s="347"/>
      <c r="V47" s="348"/>
      <c r="W47" s="349"/>
    </row>
    <row r="48" spans="1:24" hidden="1" outlineLevel="1" x14ac:dyDescent="0.2">
      <c r="A48" s="446" t="s">
        <v>194</v>
      </c>
      <c r="B48" s="322"/>
      <c r="C48" s="323"/>
      <c r="D48" s="323"/>
      <c r="E48" s="323"/>
      <c r="F48" s="323"/>
      <c r="G48" s="318"/>
      <c r="I48" s="324" t="s">
        <v>128</v>
      </c>
      <c r="J48" s="325">
        <f>IF(U52="F",J49*12,SUM(J50*9,J51))</f>
        <v>0</v>
      </c>
      <c r="K48" s="325">
        <f>IF(U52="F",K49*12,SUM(K50*9,K51))</f>
        <v>0</v>
      </c>
      <c r="L48" s="325">
        <f>IF(U52="F",L49*12,SUM(L50*9,L51))</f>
        <v>0</v>
      </c>
      <c r="M48" s="325">
        <f>IF(U52="F",M49*12,SUM(M50*9,M51))</f>
        <v>0</v>
      </c>
      <c r="N48" s="325">
        <f>IF(U52="F",N49*12,SUM(N50*9,N51))</f>
        <v>0</v>
      </c>
      <c r="O48" s="311" t="s">
        <v>51</v>
      </c>
      <c r="P48" s="326" t="s">
        <v>126</v>
      </c>
      <c r="Q48" s="326" t="s">
        <v>127</v>
      </c>
      <c r="R48" s="327"/>
      <c r="S48" s="196"/>
      <c r="T48" s="328"/>
      <c r="V48" s="330"/>
    </row>
    <row r="49" spans="1:24" hidden="1" outlineLevel="1" x14ac:dyDescent="0.2">
      <c r="A49" s="331" t="str">
        <f>ROUND(P49*100, 2)&amp;"% Avg. Fiscal Effort, "&amp;ROUND(Q49, 2)&amp;" Avg. Calendar Months"</f>
        <v>0% Avg. Fiscal Effort, 0 Avg. Calendar Months</v>
      </c>
      <c r="B49" s="322">
        <f>O49*J49</f>
        <v>0</v>
      </c>
      <c r="C49" s="322">
        <f>IF($J$6&gt;1,IF($U$1&lt;&gt;0,IF(O49*(1+$O$6)&lt;=$U$1,O49*K49*(1+$O$6),$U$1*K49),O49*K49*(1+$O$6)),0)</f>
        <v>0</v>
      </c>
      <c r="D49" s="322">
        <f>IF($J$6&gt;2,IF($U$1&lt;&gt;0,IF(O49*(1+$O$6)^2&lt;=$U$1,O49*L49*(1+$O$6)^2,$U$1*L49),O49*L49*(1+$O$6)^2),0)</f>
        <v>0</v>
      </c>
      <c r="E49" s="322">
        <f>IF($J$6&gt;3,IF($U$1&lt;&gt;0,IF(O49*(1+$O$6)^3&lt;=$U$1,O49*M49*(1+$O$6)^3,$U$1*M49),O49*M49*(1+$O$6)^3),0)</f>
        <v>0</v>
      </c>
      <c r="F49" s="322">
        <f>IF($J$6&gt;4,IF($U$1&lt;&gt;0,IF(O49*(1+$O$6)^4&lt;=$U$1,O49*N49*(1+$O$6)^4,$U$1*N49),O49*N49*(1+$O$6)^4),0)</f>
        <v>0</v>
      </c>
      <c r="G49" s="318">
        <f>SUM(B49:F49)</f>
        <v>0</v>
      </c>
      <c r="H49" s="332"/>
      <c r="I49" s="324" t="s">
        <v>26</v>
      </c>
      <c r="J49" s="333">
        <v>0</v>
      </c>
      <c r="K49" s="333">
        <f>IF($J$6&gt;1,J49,0)</f>
        <v>0</v>
      </c>
      <c r="L49" s="333">
        <f>IF($J$6&gt;2,K49,0)</f>
        <v>0</v>
      </c>
      <c r="M49" s="333">
        <f>IF($J$6&gt;3,L49,0)</f>
        <v>0</v>
      </c>
      <c r="N49" s="333">
        <f>IF($J$6&gt;4,M49,0)</f>
        <v>0</v>
      </c>
      <c r="O49" s="334">
        <f>IF(U52="F",IF($U$1&lt;&gt;0,IF(T52&gt;$U$1,$U$1,T52),T52),0)</f>
        <v>0</v>
      </c>
      <c r="P49" s="292">
        <f>SUM(J48:N48)/(ROUNDUP($J$6,0)*12)</f>
        <v>0</v>
      </c>
      <c r="Q49" s="335">
        <f>(SUM(J48:N48)/(CEILING($J$6*12,12)))*12</f>
        <v>0</v>
      </c>
      <c r="T49" s="328"/>
      <c r="V49" s="330"/>
      <c r="X49" s="336"/>
    </row>
    <row r="50" spans="1:24" hidden="1" outlineLevel="1" x14ac:dyDescent="0.2">
      <c r="A50" s="458" t="str">
        <f>ROUND(P49*100,2)&amp;"% Annualized Effort, "&amp;ROUND(Q50,2)&amp;" Avg. Academic Months
"&amp;IF(SUM(J51:N51)&gt;0," and "&amp;Q51 &amp;" Avg. Summer Months", "")</f>
        <v xml:space="preserve">0% Annualized Effort, 0 Avg. Academic Months
</v>
      </c>
      <c r="B50" s="322">
        <f>J50*O50</f>
        <v>0</v>
      </c>
      <c r="C50" s="322">
        <f>IF($J$6&gt;1,IF($U$1&lt;&gt;0,IF(O50*(1+$O$6)&lt;=$U$1*0.75,O50*K50*(1+$O$6),$U$1*0.75*K50),O50*K50*(1+$O$6)),0)</f>
        <v>0</v>
      </c>
      <c r="D50" s="322">
        <f>IF($J$6&gt;2,IF($U$1&lt;&gt;0,IF(O50*(1+$O$6)^2&lt;=$U$1*0.75,O50*L50*(1+$O$6)^2,$U$1*0.75*L50),O50*L50*(1+$O$6)^2),0)</f>
        <v>0</v>
      </c>
      <c r="E50" s="322">
        <f>IF($J$6&gt;3,IF($U$1&lt;&gt;0,IF(O50*(1+$O$6)^3&lt;=$U$1*0.75,O50*M50*(1+$O$6)^3,$U$1*0.75*M50),O50*M50*(1+$O$6)^3),0)</f>
        <v>0</v>
      </c>
      <c r="F50" s="322">
        <f>IF($J$6&gt;4,IF($U$1&lt;&gt;0,IF(O50*(1+$O$6)^4&lt;=$U$1*0.75,O50*N50*(1+$O$6)^4,$U$1*0.75*N50),O50*N50*(1+$O$6)^4),0)</f>
        <v>0</v>
      </c>
      <c r="G50" s="318">
        <f>SUM(B50:F50)</f>
        <v>0</v>
      </c>
      <c r="H50" s="332"/>
      <c r="I50" s="324" t="s">
        <v>15</v>
      </c>
      <c r="J50" s="333">
        <v>0</v>
      </c>
      <c r="K50" s="333">
        <f>IF($J$6&gt;1,J50,0)</f>
        <v>0</v>
      </c>
      <c r="L50" s="333">
        <f>IF($J$6&gt;2,K50,0)</f>
        <v>0</v>
      </c>
      <c r="M50" s="333">
        <f>IF($J$6&gt;3,L50,0)</f>
        <v>0</v>
      </c>
      <c r="N50" s="333">
        <f>IF($J$6&gt;4,M50,0)</f>
        <v>0</v>
      </c>
      <c r="O50" s="334">
        <f>IF(U52="A",IF($U$1&lt;&gt;0,IF(T52&gt;($U$1/12*9),($U$1/12*9),T52),T52),0)</f>
        <v>0</v>
      </c>
      <c r="P50" s="337"/>
      <c r="Q50" s="338">
        <f>((SUM(J48:N48)-SUM(J51:N51))/(CEILING($J$6*9,9)))*9</f>
        <v>0</v>
      </c>
      <c r="R50" s="196"/>
      <c r="S50" s="196"/>
      <c r="T50" s="328"/>
      <c r="V50" s="330"/>
    </row>
    <row r="51" spans="1:24" hidden="1" outlineLevel="1" x14ac:dyDescent="0.2">
      <c r="A51" s="458"/>
      <c r="B51" s="322">
        <f>J51/3*O51</f>
        <v>0</v>
      </c>
      <c r="C51" s="322">
        <f>IF($J$6&gt;1,IF($U$1&lt;&gt;0,IF(O51*(1+$O$6)&lt;=$U$1*0.25,O51*K51/3*(1+$O$6),$U$1*0.25*K51/3),O51*K51/3*(1+$O$6)),0)</f>
        <v>0</v>
      </c>
      <c r="D51" s="322">
        <f>IF($J$6&gt;2,IF($U$1&lt;&gt;0,IF(O51*(1+$O$6)^2&lt;=$U$1*0.25,O51*L51/3*(1+$O$6)^2,$U$1*0.25*L51/3),O51*L51/3*(1+$O$6)^2),0)</f>
        <v>0</v>
      </c>
      <c r="E51" s="322">
        <f>IF($J$6&gt;3,IF($U$1&lt;&gt;0,IF(O51*(1+$O$6)^3&lt;=$U$1*0.25,O51*M51/3*(1+$O$6)^3,$U$1*0.25*M51/3),O51*M51/3*(1+$O$6)^3),0)</f>
        <v>0</v>
      </c>
      <c r="F51" s="322">
        <f>IF($J$6&gt;4,IF($U$1&lt;&gt;0,IF(O51*(1+$O$6)^4&lt;=$U$1*0.25,O51*N51/3*(1+$O$6)^4,$U$1*0.25*N51/3),O51*N51/3*(1+$O$6)^4),0)</f>
        <v>0</v>
      </c>
      <c r="G51" s="318">
        <f>SUM(B51:F51)</f>
        <v>0</v>
      </c>
      <c r="H51" s="332"/>
      <c r="I51" s="324" t="s">
        <v>17</v>
      </c>
      <c r="J51" s="339">
        <v>0</v>
      </c>
      <c r="K51" s="339">
        <f>IF($J$6&gt;1,J51,0)</f>
        <v>0</v>
      </c>
      <c r="L51" s="339">
        <f>IF($J$6&gt;2,K51,0)</f>
        <v>0</v>
      </c>
      <c r="M51" s="339">
        <f>IF($J$6&gt;3,L51,0)</f>
        <v>0</v>
      </c>
      <c r="N51" s="339">
        <f>IF($J$6&gt;4,M51,0)</f>
        <v>0</v>
      </c>
      <c r="O51" s="334">
        <f>IF(U52="A",IF($U$1&lt;&gt;0,IF(T52*0.000731*456&gt;($U$1/12*3),($U$1/12*3),T52*0.000731*456),T52*0.000731*456),0)</f>
        <v>0</v>
      </c>
      <c r="P51" s="340"/>
      <c r="Q51" s="340">
        <f>((SUM(J48:N48)-SUM(J50:N50)*9)/(CEILING($J$6*3,3)))*3</f>
        <v>0</v>
      </c>
      <c r="R51" s="196"/>
      <c r="S51" s="196"/>
      <c r="V51" s="330"/>
    </row>
    <row r="52" spans="1:24" hidden="1" outlineLevel="1" x14ac:dyDescent="0.2">
      <c r="A52" s="321"/>
      <c r="B52" s="322"/>
      <c r="C52" s="322"/>
      <c r="D52" s="323"/>
      <c r="E52" s="323"/>
      <c r="F52" s="323"/>
      <c r="G52" s="341"/>
      <c r="H52" s="342"/>
      <c r="I52" s="343" t="s">
        <v>109</v>
      </c>
      <c r="J52" s="344">
        <f>SUM(B49:B51)*$V52</f>
        <v>0</v>
      </c>
      <c r="K52" s="344">
        <f>SUM(C49:C51)*$V52</f>
        <v>0</v>
      </c>
      <c r="L52" s="344">
        <f>SUM(D49:D51)*$V52</f>
        <v>0</v>
      </c>
      <c r="M52" s="344">
        <f>SUM(E49:E51)*$V52</f>
        <v>0</v>
      </c>
      <c r="N52" s="344">
        <f>SUM(F49:F51)*$V52</f>
        <v>0</v>
      </c>
      <c r="O52" s="345"/>
      <c r="P52" s="340"/>
      <c r="Q52" s="340"/>
      <c r="R52" s="196"/>
      <c r="S52" s="196"/>
      <c r="T52" s="346"/>
      <c r="U52" s="347"/>
      <c r="V52" s="348"/>
      <c r="W52" s="349"/>
    </row>
    <row r="53" spans="1:24" outlineLevel="1" x14ac:dyDescent="0.2">
      <c r="A53" s="350" t="s">
        <v>204</v>
      </c>
      <c r="B53" s="322"/>
      <c r="C53" s="323"/>
      <c r="D53" s="323"/>
      <c r="E53" s="323"/>
      <c r="F53" s="323"/>
      <c r="G53" s="318"/>
      <c r="I53" s="324" t="s">
        <v>128</v>
      </c>
      <c r="J53" s="325">
        <f>IF(U57="F",J54*12,SUM(J55*9,J56))</f>
        <v>0</v>
      </c>
      <c r="K53" s="325">
        <f>IF(U57="F",K54*12,SUM(K55*9,K56))</f>
        <v>0</v>
      </c>
      <c r="L53" s="325">
        <f>IF(U57="F",L54*12,SUM(L55*9,L56))</f>
        <v>0</v>
      </c>
      <c r="M53" s="325">
        <f>IF(U57="F",M54*12,SUM(M55*9,M56))</f>
        <v>0</v>
      </c>
      <c r="N53" s="325">
        <f>IF(U57="F",N54*12,SUM(N55*9,N56))</f>
        <v>0</v>
      </c>
      <c r="O53" s="311" t="s">
        <v>51</v>
      </c>
      <c r="P53" s="326" t="s">
        <v>126</v>
      </c>
      <c r="Q53" s="326" t="s">
        <v>127</v>
      </c>
      <c r="R53" s="327"/>
      <c r="S53" s="196"/>
      <c r="T53" s="328"/>
      <c r="V53" s="330"/>
    </row>
    <row r="54" spans="1:24" outlineLevel="1" x14ac:dyDescent="0.2">
      <c r="A54" s="331" t="str">
        <f>ROUND(P54*100, 2)&amp;"% Avg. Fiscal Effort, "&amp;ROUND(Q54, 2)&amp;" Avg. Calendar Months"</f>
        <v>0% Avg. Fiscal Effort, 0 Avg. Calendar Months</v>
      </c>
      <c r="B54" s="322">
        <f>O54*J54</f>
        <v>0</v>
      </c>
      <c r="C54" s="322">
        <f>IF($J$6&gt;1,IF($U$1&lt;&gt;0,IF(O54*(1+$O$6)&lt;=$U$1,O54*K54*(1+$O$6),$U$1*K54),O54*K54*(1+$O$6)),0)</f>
        <v>0</v>
      </c>
      <c r="D54" s="322">
        <f>IF($J$6&gt;2,IF($U$1&lt;&gt;0,IF(O54*(1+$O$6)^2&lt;=$U$1,O54*L54*(1+$O$6)^2,$U$1*L54),O54*L54*(1+$O$6)^2),0)</f>
        <v>0</v>
      </c>
      <c r="E54" s="322">
        <f>IF($J$6&gt;3,IF($U$1&lt;&gt;0,IF(O54*(1+$O$6)^3&lt;=$U$1,O54*M54*(1+$O$6)^3,$U$1*M54),O54*M54*(1+$O$6)^3),0)</f>
        <v>0</v>
      </c>
      <c r="F54" s="322">
        <f>IF($J$6&gt;4,IF($U$1&lt;&gt;0,IF(O54*(1+$O$6)^4&lt;=$U$1,O54*N54*(1+$O$6)^4,$U$1*N54),O54*N54*(1+$O$6)^4),0)</f>
        <v>0</v>
      </c>
      <c r="G54" s="318">
        <f>SUM(B54:F54)</f>
        <v>0</v>
      </c>
      <c r="H54" s="332"/>
      <c r="I54" s="324" t="s">
        <v>26</v>
      </c>
      <c r="J54" s="333">
        <v>0</v>
      </c>
      <c r="K54" s="333">
        <f>IF($J$6&gt;1,J54,0)</f>
        <v>0</v>
      </c>
      <c r="L54" s="333">
        <f>IF($J$6&gt;2,K54,0)</f>
        <v>0</v>
      </c>
      <c r="M54" s="333">
        <f>IF($J$6&gt;3,L54,0)</f>
        <v>0</v>
      </c>
      <c r="N54" s="333">
        <f>IF($J$6&gt;4,M54,0)</f>
        <v>0</v>
      </c>
      <c r="O54" s="334">
        <f>IF(U57="F",IF($U$1&lt;&gt;0,IF(T57&gt;$U$1,$U$1,T57),T57),0)</f>
        <v>0</v>
      </c>
      <c r="P54" s="292">
        <f>SUM(J53:N53)/(ROUNDUP($J$6,0)*12)</f>
        <v>0</v>
      </c>
      <c r="Q54" s="335">
        <f>(SUM(J53:N53)/(CEILING($J$6*12,12)))*12</f>
        <v>0</v>
      </c>
      <c r="T54" s="328"/>
      <c r="V54" s="330"/>
      <c r="X54" s="336"/>
    </row>
    <row r="55" spans="1:24" outlineLevel="1" x14ac:dyDescent="0.2">
      <c r="A55" s="458" t="str">
        <f>ROUND(P54*100,2)&amp;"% Annualized Effort, "&amp;ROUND(Q55,2)&amp;" Avg. Academic Months
"&amp;IF(SUM(J56:N56)&gt;0," and "&amp;Q56 &amp;" Avg. Summer Months", "")</f>
        <v xml:space="preserve">0% Annualized Effort, 0 Avg. Academic Months
</v>
      </c>
      <c r="B55" s="322">
        <f>J55*O55</f>
        <v>0</v>
      </c>
      <c r="C55" s="322">
        <f>IF($J$6&gt;1,IF($U$1&lt;&gt;0,IF(O55*(1+$O$6)&lt;=$U$1*0.75,O55*K55*(1+$O$6),$U$1*0.75*K55),O55*K55*(1+$O$6)),0)</f>
        <v>0</v>
      </c>
      <c r="D55" s="322">
        <f>IF($J$6&gt;2,IF($U$1&lt;&gt;0,IF(O55*(1+$O$6)^2&lt;=$U$1*0.75,O55*L55*(1+$O$6)^2,$U$1*0.75*L55),O55*L55*(1+$O$6)^2),0)</f>
        <v>0</v>
      </c>
      <c r="E55" s="322">
        <f>IF($J$6&gt;3,IF($U$1&lt;&gt;0,IF(O55*(1+$O$6)^3&lt;=$U$1*0.75,O55*M55*(1+$O$6)^3,$U$1*0.75*M55),O55*M55*(1+$O$6)^3),0)</f>
        <v>0</v>
      </c>
      <c r="F55" s="322">
        <f>IF($J$6&gt;4,IF($U$1&lt;&gt;0,IF(O55*(1+$O$6)^4&lt;=$U$1*0.75,O55*N55*(1+$O$6)^4,$U$1*0.75*N55),O55*N55*(1+$O$6)^4),0)</f>
        <v>0</v>
      </c>
      <c r="G55" s="318">
        <f>SUM(B55:F55)</f>
        <v>0</v>
      </c>
      <c r="H55" s="332"/>
      <c r="I55" s="324" t="s">
        <v>15</v>
      </c>
      <c r="J55" s="333">
        <v>0</v>
      </c>
      <c r="K55" s="333">
        <f>IF($J$6&gt;1,J55,0)</f>
        <v>0</v>
      </c>
      <c r="L55" s="333">
        <f>IF($J$6&gt;2,K55,0)</f>
        <v>0</v>
      </c>
      <c r="M55" s="333">
        <f>IF($J$6&gt;3,L55,0)</f>
        <v>0</v>
      </c>
      <c r="N55" s="333">
        <f>IF($J$6&gt;4,M55,0)</f>
        <v>0</v>
      </c>
      <c r="O55" s="334">
        <f>IF(U57="A",IF($U$1&lt;&gt;0,IF(T57&gt;($U$1/12*9),($U$1/12*9),T57),T57),0)</f>
        <v>0</v>
      </c>
      <c r="P55" s="337"/>
      <c r="Q55" s="338">
        <f>((SUM(J53:N53)-SUM(J56:N56))/(CEILING($J$6*9,9)))*9</f>
        <v>0</v>
      </c>
      <c r="R55" s="196"/>
      <c r="S55" s="196"/>
      <c r="T55" s="328"/>
      <c r="V55" s="330"/>
    </row>
    <row r="56" spans="1:24" outlineLevel="1" x14ac:dyDescent="0.2">
      <c r="A56" s="458"/>
      <c r="B56" s="322">
        <f>J56/3*O56</f>
        <v>0</v>
      </c>
      <c r="C56" s="322">
        <f>IF($J$6&gt;1,IF($U$1&lt;&gt;0,IF(O56*(1+$O$6)&lt;=$U$1*0.25,O56*K56/3*(1+$O$6),$U$1*0.25*K56/3),O56*K56/3*(1+$O$6)),0)</f>
        <v>0</v>
      </c>
      <c r="D56" s="322">
        <f>IF($J$6&gt;2,IF($U$1&lt;&gt;0,IF(O56*(1+$O$6)^2&lt;=$U$1*0.25,O56*L56/3*(1+$O$6)^2,$U$1*0.25*L56/3),O56*L56/3*(1+$O$6)^2),0)</f>
        <v>0</v>
      </c>
      <c r="E56" s="322">
        <f>IF($J$6&gt;3,IF($U$1&lt;&gt;0,IF(O56*(1+$O$6)^3&lt;=$U$1*0.25,O56*M56/3*(1+$O$6)^3,$U$1*0.25*M56/3),O56*M56/3*(1+$O$6)^3),0)</f>
        <v>0</v>
      </c>
      <c r="F56" s="322">
        <f>IF($J$6&gt;4,IF($U$1&lt;&gt;0,IF(O56*(1+$O$6)^4&lt;=$U$1*0.25,O56*N56/3*(1+$O$6)^4,$U$1*0.25*N56/3),O56*N56/3*(1+$O$6)^4),0)</f>
        <v>0</v>
      </c>
      <c r="G56" s="318">
        <f>SUM(B56:F56)</f>
        <v>0</v>
      </c>
      <c r="H56" s="332"/>
      <c r="I56" s="324" t="s">
        <v>17</v>
      </c>
      <c r="J56" s="339">
        <v>0</v>
      </c>
      <c r="K56" s="339">
        <f>IF($J$6&gt;1,J56,0)</f>
        <v>0</v>
      </c>
      <c r="L56" s="339">
        <f>IF($J$6&gt;2,K56,0)</f>
        <v>0</v>
      </c>
      <c r="M56" s="339">
        <f>IF($J$6&gt;3,L56,0)</f>
        <v>0</v>
      </c>
      <c r="N56" s="339">
        <f>IF($J$6&gt;4,M56,0)</f>
        <v>0</v>
      </c>
      <c r="O56" s="334">
        <f>IF(U57="A",IF($U$1&lt;&gt;0,IF(T57*0.000731*456&gt;($U$1/12*3),($U$1/12*3),T57*0.000731*456),T57*0.000731*456),0)</f>
        <v>0</v>
      </c>
      <c r="P56" s="340"/>
      <c r="Q56" s="340">
        <f>((SUM(J53:N53)-SUM(J55:N55)*9)/(CEILING($J$6*3,3)))*3</f>
        <v>0</v>
      </c>
      <c r="R56" s="196"/>
      <c r="S56" s="196"/>
      <c r="V56" s="330"/>
    </row>
    <row r="57" spans="1:24" outlineLevel="1" x14ac:dyDescent="0.2">
      <c r="A57" s="321"/>
      <c r="B57" s="322"/>
      <c r="C57" s="322"/>
      <c r="D57" s="323"/>
      <c r="E57" s="323"/>
      <c r="F57" s="323"/>
      <c r="G57" s="341"/>
      <c r="H57" s="342"/>
      <c r="I57" s="343" t="s">
        <v>109</v>
      </c>
      <c r="J57" s="344">
        <f>SUM(B54:B56)*$V57</f>
        <v>0</v>
      </c>
      <c r="K57" s="344">
        <f>SUM(C54:C56)*$V57</f>
        <v>0</v>
      </c>
      <c r="L57" s="344">
        <f>SUM(D54:D56)*$V57</f>
        <v>0</v>
      </c>
      <c r="M57" s="344">
        <f>SUM(E54:E56)*$V57</f>
        <v>0</v>
      </c>
      <c r="N57" s="344">
        <f>SUM(F54:F56)*$V57</f>
        <v>0</v>
      </c>
      <c r="O57" s="345"/>
      <c r="P57" s="340"/>
      <c r="Q57" s="340"/>
      <c r="R57" s="196"/>
      <c r="S57" s="196"/>
      <c r="T57" s="346"/>
      <c r="U57" s="347"/>
      <c r="V57" s="348"/>
      <c r="W57" s="349"/>
    </row>
    <row r="58" spans="1:24" outlineLevel="1" x14ac:dyDescent="0.2">
      <c r="A58" s="350" t="s">
        <v>204</v>
      </c>
      <c r="B58" s="322"/>
      <c r="C58" s="323"/>
      <c r="D58" s="323"/>
      <c r="E58" s="323"/>
      <c r="F58" s="323"/>
      <c r="G58" s="318"/>
      <c r="I58" s="324" t="s">
        <v>128</v>
      </c>
      <c r="J58" s="325">
        <f>IF(U62="F",J59*12,SUM(J60*9,J61))</f>
        <v>0</v>
      </c>
      <c r="K58" s="325">
        <f>IF(U62="F",K59*12,SUM(K60*9,K61))</f>
        <v>0</v>
      </c>
      <c r="L58" s="325">
        <f>IF(U62="F",L59*12,SUM(L60*9,L61))</f>
        <v>0</v>
      </c>
      <c r="M58" s="325">
        <f>IF(U62="F",M59*12,SUM(M60*9,M61))</f>
        <v>0</v>
      </c>
      <c r="N58" s="325">
        <f>IF(U62="F",N59*12,SUM(N60*9,N61))</f>
        <v>0</v>
      </c>
      <c r="O58" s="311" t="s">
        <v>51</v>
      </c>
      <c r="P58" s="326" t="s">
        <v>126</v>
      </c>
      <c r="Q58" s="326" t="s">
        <v>127</v>
      </c>
      <c r="R58" s="327"/>
      <c r="S58" s="196"/>
      <c r="T58" s="328"/>
      <c r="V58" s="330"/>
    </row>
    <row r="59" spans="1:24" outlineLevel="1" x14ac:dyDescent="0.2">
      <c r="A59" s="331" t="str">
        <f>ROUND(P59*100, 2)&amp;"% Avg. Fiscal Effort, "&amp;ROUND(Q59, 2)&amp;" Avg. Calendar Months"</f>
        <v>0% Avg. Fiscal Effort, 0 Avg. Calendar Months</v>
      </c>
      <c r="B59" s="322">
        <f>O59*J59</f>
        <v>0</v>
      </c>
      <c r="C59" s="322">
        <f>IF($J$6&gt;1,IF($U$1&lt;&gt;0,IF(O59*(1+$O$6)&lt;=$U$1,O59*K59*(1+$O$6),$U$1*K59),O59*K59*(1+$O$6)),0)</f>
        <v>0</v>
      </c>
      <c r="D59" s="322">
        <f>IF($J$6&gt;2,IF($U$1&lt;&gt;0,IF(O59*(1+$O$6)^2&lt;=$U$1,O59*L59*(1+$O$6)^2,$U$1*L59),O59*L59*(1+$O$6)^2),0)</f>
        <v>0</v>
      </c>
      <c r="E59" s="322">
        <f>IF($J$6&gt;3,IF($U$1&lt;&gt;0,IF(O59*(1+$O$6)^3&lt;=$U$1,O59*M59*(1+$O$6)^3,$U$1*M59),O59*M59*(1+$O$6)^3),0)</f>
        <v>0</v>
      </c>
      <c r="F59" s="322">
        <f>IF($J$6&gt;4,IF($U$1&lt;&gt;0,IF(O59*(1+$O$6)^4&lt;=$U$1,O59*N59*(1+$O$6)^4,$U$1*N59),O59*N59*(1+$O$6)^4),0)</f>
        <v>0</v>
      </c>
      <c r="G59" s="318">
        <f>SUM(B59:F59)</f>
        <v>0</v>
      </c>
      <c r="H59" s="332"/>
      <c r="I59" s="324" t="s">
        <v>26</v>
      </c>
      <c r="J59" s="333">
        <v>0</v>
      </c>
      <c r="K59" s="333">
        <f>IF($J$6&gt;1,J59,0)</f>
        <v>0</v>
      </c>
      <c r="L59" s="333">
        <f>IF($J$6&gt;2,K59,0)</f>
        <v>0</v>
      </c>
      <c r="M59" s="333">
        <f>IF($J$6&gt;3,L59,0)</f>
        <v>0</v>
      </c>
      <c r="N59" s="333">
        <f>IF($J$6&gt;4,M59,0)</f>
        <v>0</v>
      </c>
      <c r="O59" s="334">
        <f>IF(U62="F",IF($U$1&lt;&gt;0,IF(T62&gt;$U$1,$U$1,T62),T62),0)</f>
        <v>0</v>
      </c>
      <c r="P59" s="292">
        <f>SUM(J58:N58)/(ROUNDUP($J$6,0)*12)</f>
        <v>0</v>
      </c>
      <c r="Q59" s="335">
        <f>(SUM(J58:N58)/(CEILING($J$6*12,12)))*12</f>
        <v>0</v>
      </c>
      <c r="T59" s="328"/>
      <c r="V59" s="330"/>
      <c r="X59" s="336"/>
    </row>
    <row r="60" spans="1:24" outlineLevel="1" x14ac:dyDescent="0.2">
      <c r="A60" s="458" t="str">
        <f>ROUND(P59*100,2)&amp;"% Annualized Effort, "&amp;ROUND(Q60,2)&amp;" Avg. Academic Months
"&amp;IF(SUM(J61:N61)&gt;0," and "&amp;Q61 &amp;" Avg. Summer Months", "")</f>
        <v xml:space="preserve">0% Annualized Effort, 0 Avg. Academic Months
</v>
      </c>
      <c r="B60" s="322">
        <f>J60*O60</f>
        <v>0</v>
      </c>
      <c r="C60" s="322">
        <f>IF($J$6&gt;1,IF($U$1&lt;&gt;0,IF(O60*(1+$O$6)&lt;=$U$1*0.75,O60*K60*(1+$O$6),$U$1*0.75*K60),O60*K60*(1+$O$6)),0)</f>
        <v>0</v>
      </c>
      <c r="D60" s="322">
        <f>IF($J$6&gt;2,IF($U$1&lt;&gt;0,IF(O60*(1+$O$6)^2&lt;=$U$1*0.75,O60*L60*(1+$O$6)^2,$U$1*0.75*L60),O60*L60*(1+$O$6)^2),0)</f>
        <v>0</v>
      </c>
      <c r="E60" s="322">
        <f>IF($J$6&gt;3,IF($U$1&lt;&gt;0,IF(O60*(1+$O$6)^3&lt;=$U$1*0.75,O60*M60*(1+$O$6)^3,$U$1*0.75*M60),O60*M60*(1+$O$6)^3),0)</f>
        <v>0</v>
      </c>
      <c r="F60" s="322">
        <f>IF($J$6&gt;4,IF($U$1&lt;&gt;0,IF(O60*(1+$O$6)^4&lt;=$U$1*0.75,O60*N60*(1+$O$6)^4,$U$1*0.75*N60),O60*N60*(1+$O$6)^4),0)</f>
        <v>0</v>
      </c>
      <c r="G60" s="318">
        <f>SUM(B60:F60)</f>
        <v>0</v>
      </c>
      <c r="H60" s="332"/>
      <c r="I60" s="324" t="s">
        <v>15</v>
      </c>
      <c r="J60" s="333">
        <v>0</v>
      </c>
      <c r="K60" s="333">
        <f>IF($J$6&gt;1,J60,0)</f>
        <v>0</v>
      </c>
      <c r="L60" s="333">
        <f>IF($J$6&gt;2,K60,0)</f>
        <v>0</v>
      </c>
      <c r="M60" s="333">
        <f>IF($J$6&gt;3,L60,0)</f>
        <v>0</v>
      </c>
      <c r="N60" s="333">
        <f>IF($J$6&gt;4,M60,0)</f>
        <v>0</v>
      </c>
      <c r="O60" s="334">
        <f>IF(U62="A",IF($U$1&lt;&gt;0,IF(T62&gt;($U$1/12*9),($U$1/12*9),T62),T62),0)</f>
        <v>0</v>
      </c>
      <c r="P60" s="337"/>
      <c r="Q60" s="338">
        <f>((SUM(J58:N58)-SUM(J61:N61))/(CEILING($J$6*9,9)))*9</f>
        <v>0</v>
      </c>
      <c r="R60" s="196"/>
      <c r="S60" s="196"/>
      <c r="T60" s="328"/>
      <c r="V60" s="330"/>
    </row>
    <row r="61" spans="1:24" outlineLevel="1" x14ac:dyDescent="0.2">
      <c r="A61" s="458"/>
      <c r="B61" s="322">
        <f>J61/3*O61</f>
        <v>0</v>
      </c>
      <c r="C61" s="322">
        <f>IF($J$6&gt;1,IF($U$1&lt;&gt;0,IF(O61*(1+$O$6)&lt;=$U$1*0.25,O61*K61/3*(1+$O$6),$U$1*0.25*K61/3),O61*K61/3*(1+$O$6)),0)</f>
        <v>0</v>
      </c>
      <c r="D61" s="322">
        <f>IF($J$6&gt;2,IF($U$1&lt;&gt;0,IF(O61*(1+$O$6)^2&lt;=$U$1*0.25,O61*L61/3*(1+$O$6)^2,$U$1*0.25*L61/3),O61*L61/3*(1+$O$6)^2),0)</f>
        <v>0</v>
      </c>
      <c r="E61" s="322">
        <f>IF($J$6&gt;3,IF($U$1&lt;&gt;0,IF(O61*(1+$O$6)^3&lt;=$U$1*0.25,O61*M61/3*(1+$O$6)^3,$U$1*0.25*M61/3),O61*M61/3*(1+$O$6)^3),0)</f>
        <v>0</v>
      </c>
      <c r="F61" s="322">
        <f>IF($J$6&gt;4,IF($U$1&lt;&gt;0,IF(O61*(1+$O$6)^4&lt;=$U$1*0.25,O61*N61/3*(1+$O$6)^4,$U$1*0.25*N61/3),O61*N61/3*(1+$O$6)^4),0)</f>
        <v>0</v>
      </c>
      <c r="G61" s="318">
        <f>SUM(B61:F61)</f>
        <v>0</v>
      </c>
      <c r="H61" s="332"/>
      <c r="I61" s="324" t="s">
        <v>17</v>
      </c>
      <c r="J61" s="339">
        <v>0</v>
      </c>
      <c r="K61" s="339">
        <f>IF($J$6&gt;1,J61,0)</f>
        <v>0</v>
      </c>
      <c r="L61" s="339">
        <f>IF($J$6&gt;2,K61,0)</f>
        <v>0</v>
      </c>
      <c r="M61" s="339">
        <f>IF($J$6&gt;3,L61,0)</f>
        <v>0</v>
      </c>
      <c r="N61" s="339">
        <f>IF($J$6&gt;4,M61,0)</f>
        <v>0</v>
      </c>
      <c r="O61" s="334">
        <f>IF(U62="A",IF($U$1&lt;&gt;0,IF(T62*0.000731*456&gt;($U$1/12*3),($U$1/12*3),T62*0.000731*456),T62*0.000731*456),0)</f>
        <v>0</v>
      </c>
      <c r="P61" s="340"/>
      <c r="Q61" s="340">
        <f>((SUM(J58:N58)-SUM(J60:N60)*9)/(CEILING($J$6*3,3)))*3</f>
        <v>0</v>
      </c>
      <c r="R61" s="196"/>
      <c r="S61" s="196"/>
      <c r="V61" s="330"/>
    </row>
    <row r="62" spans="1:24" outlineLevel="1" x14ac:dyDescent="0.2">
      <c r="A62" s="321"/>
      <c r="B62" s="322"/>
      <c r="C62" s="322"/>
      <c r="D62" s="323"/>
      <c r="E62" s="323"/>
      <c r="F62" s="323"/>
      <c r="G62" s="341"/>
      <c r="H62" s="342"/>
      <c r="I62" s="343" t="s">
        <v>109</v>
      </c>
      <c r="J62" s="344">
        <f>SUM(B59:B61)*$V62</f>
        <v>0</v>
      </c>
      <c r="K62" s="344">
        <f>SUM(C59:C61)*$V62</f>
        <v>0</v>
      </c>
      <c r="L62" s="344">
        <f>SUM(D59:D61)*$V62</f>
        <v>0</v>
      </c>
      <c r="M62" s="344">
        <f>SUM(E59:E61)*$V62</f>
        <v>0</v>
      </c>
      <c r="N62" s="344">
        <f>SUM(F59:F61)*$V62</f>
        <v>0</v>
      </c>
      <c r="O62" s="345"/>
      <c r="P62" s="340"/>
      <c r="Q62" s="340"/>
      <c r="R62" s="196"/>
      <c r="S62" s="196"/>
      <c r="T62" s="346"/>
      <c r="U62" s="347"/>
      <c r="V62" s="348"/>
      <c r="W62" s="349"/>
    </row>
    <row r="63" spans="1:24" outlineLevel="1" x14ac:dyDescent="0.2">
      <c r="A63" s="350" t="s">
        <v>204</v>
      </c>
      <c r="B63" s="322"/>
      <c r="C63" s="323"/>
      <c r="D63" s="323"/>
      <c r="E63" s="323"/>
      <c r="F63" s="323"/>
      <c r="G63" s="318"/>
      <c r="I63" s="324" t="s">
        <v>128</v>
      </c>
      <c r="J63" s="325">
        <f>IF(U67="F",J64*12,SUM(J65*9,J66))</f>
        <v>0</v>
      </c>
      <c r="K63" s="325">
        <f>IF(U67="F",K64*12,SUM(K65*9,K66))</f>
        <v>0</v>
      </c>
      <c r="L63" s="325">
        <f>IF(U67="F",L64*12,SUM(L65*9,L66))</f>
        <v>0</v>
      </c>
      <c r="M63" s="325">
        <f>IF(U67="F",M64*12,SUM(M65*9,M66))</f>
        <v>0</v>
      </c>
      <c r="N63" s="325">
        <f>IF(U67="F",N64*12,SUM(N65*9,N66))</f>
        <v>0</v>
      </c>
      <c r="O63" s="311" t="s">
        <v>51</v>
      </c>
      <c r="P63" s="326" t="s">
        <v>126</v>
      </c>
      <c r="Q63" s="326" t="s">
        <v>127</v>
      </c>
      <c r="R63" s="327"/>
      <c r="S63" s="196"/>
      <c r="T63" s="328"/>
      <c r="V63" s="330"/>
    </row>
    <row r="64" spans="1:24" outlineLevel="1" x14ac:dyDescent="0.2">
      <c r="A64" s="331" t="str">
        <f>ROUND(P64*100, 2)&amp;"% Avg. Fiscal Effort, "&amp;ROUND(Q64, 2)&amp;" Avg. Calendar Months"</f>
        <v>0% Avg. Fiscal Effort, 0 Avg. Calendar Months</v>
      </c>
      <c r="B64" s="322">
        <f>O64*J64</f>
        <v>0</v>
      </c>
      <c r="C64" s="322">
        <f>IF($J$6&gt;1,IF($U$1&lt;&gt;0,IF(O64*(1+$O$6)&lt;=$U$1,O64*K64*(1+$O$6),$U$1*K64),O64*K64*(1+$O$6)),0)</f>
        <v>0</v>
      </c>
      <c r="D64" s="322">
        <f>IF($J$6&gt;2,IF($U$1&lt;&gt;0,IF(O64*(1+$O$6)^2&lt;=$U$1,O64*L64*(1+$O$6)^2,$U$1*L64),O64*L64*(1+$O$6)^2),0)</f>
        <v>0</v>
      </c>
      <c r="E64" s="322">
        <f>IF($J$6&gt;3,IF($U$1&lt;&gt;0,IF(O64*(1+$O$6)^3&lt;=$U$1,O64*M64*(1+$O$6)^3,$U$1*M64),O64*M64*(1+$O$6)^3),0)</f>
        <v>0</v>
      </c>
      <c r="F64" s="322">
        <f>IF($J$6&gt;4,IF($U$1&lt;&gt;0,IF(O64*(1+$O$6)^4&lt;=$U$1,O64*N64*(1+$O$6)^4,$U$1*N64),O64*N64*(1+$O$6)^4),0)</f>
        <v>0</v>
      </c>
      <c r="G64" s="318">
        <f>SUM(B64:F64)</f>
        <v>0</v>
      </c>
      <c r="H64" s="332"/>
      <c r="I64" s="324" t="s">
        <v>26</v>
      </c>
      <c r="J64" s="333">
        <v>0</v>
      </c>
      <c r="K64" s="333">
        <f>IF($J$6&gt;1,J64,0)</f>
        <v>0</v>
      </c>
      <c r="L64" s="333">
        <f>IF($J$6&gt;2,K64,0)</f>
        <v>0</v>
      </c>
      <c r="M64" s="333">
        <f>IF($J$6&gt;3,L64,0)</f>
        <v>0</v>
      </c>
      <c r="N64" s="333">
        <f>IF($J$6&gt;4,M64,0)</f>
        <v>0</v>
      </c>
      <c r="O64" s="334">
        <f>IF(U67="F",IF($U$1&lt;&gt;0,IF(T67&gt;$U$1,$U$1,T67),T67),0)</f>
        <v>0</v>
      </c>
      <c r="P64" s="292">
        <f>SUM(J63:N63)/(ROUNDUP($J$6,0)*12)</f>
        <v>0</v>
      </c>
      <c r="Q64" s="335">
        <f>(SUM(J63:N63)/(CEILING($J$6*12,12)))*12</f>
        <v>0</v>
      </c>
      <c r="T64" s="328"/>
      <c r="V64" s="330"/>
      <c r="X64" s="336"/>
    </row>
    <row r="65" spans="1:23" outlineLevel="1" x14ac:dyDescent="0.2">
      <c r="A65" s="458" t="str">
        <f>ROUND(P64*100,2)&amp;"% Annualized Effort, "&amp;ROUND(Q65,2)&amp;" Avg. Academic Months
"&amp;IF(SUM(J66:N66)&gt;0," and "&amp;Q66 &amp;" Avg. Summer Months", "")</f>
        <v xml:space="preserve">0% Annualized Effort, 0 Avg. Academic Months
</v>
      </c>
      <c r="B65" s="322">
        <f>J65*O65</f>
        <v>0</v>
      </c>
      <c r="C65" s="322">
        <f>IF($J$6&gt;1,IF($U$1&lt;&gt;0,IF(O65*(1+$O$6)&lt;=$U$1*0.75,O65*K65*(1+$O$6),$U$1*0.75*K65),O65*K65*(1+$O$6)),0)</f>
        <v>0</v>
      </c>
      <c r="D65" s="322">
        <f>IF($J$6&gt;2,IF($U$1&lt;&gt;0,IF(O65*(1+$O$6)^2&lt;=$U$1*0.75,O65*L65*(1+$O$6)^2,$U$1*0.75*L65),O65*L65*(1+$O$6)^2),0)</f>
        <v>0</v>
      </c>
      <c r="E65" s="322">
        <f>IF($J$6&gt;3,IF($U$1&lt;&gt;0,IF(O65*(1+$O$6)^3&lt;=$U$1*0.75,O65*M65*(1+$O$6)^3,$U$1*0.75*M65),O65*M65*(1+$O$6)^3),0)</f>
        <v>0</v>
      </c>
      <c r="F65" s="322">
        <f>IF($J$6&gt;4,IF($U$1&lt;&gt;0,IF(O65*(1+$O$6)^4&lt;=$U$1*0.75,O65*N65*(1+$O$6)^4,$U$1*0.75*N65),O65*N65*(1+$O$6)^4),0)</f>
        <v>0</v>
      </c>
      <c r="G65" s="318">
        <f>SUM(B65:F65)</f>
        <v>0</v>
      </c>
      <c r="H65" s="332"/>
      <c r="I65" s="324" t="s">
        <v>15</v>
      </c>
      <c r="J65" s="333">
        <v>0</v>
      </c>
      <c r="K65" s="333">
        <f>IF($J$6&gt;1,J65,0)</f>
        <v>0</v>
      </c>
      <c r="L65" s="333">
        <f>IF($J$6&gt;2,K65,0)</f>
        <v>0</v>
      </c>
      <c r="M65" s="333">
        <f>IF($J$6&gt;3,L65,0)</f>
        <v>0</v>
      </c>
      <c r="N65" s="333">
        <f>IF($J$6&gt;4,M65,0)</f>
        <v>0</v>
      </c>
      <c r="O65" s="334">
        <f>IF(U67="A",IF($U$1&lt;&gt;0,IF(T67&gt;($U$1/12*9),($U$1/12*9),T67),T67),0)</f>
        <v>0</v>
      </c>
      <c r="P65" s="337"/>
      <c r="Q65" s="338">
        <f>((SUM(J63:N63)-SUM(J66:N66))/(CEILING($J$6*9,9)))*9</f>
        <v>0</v>
      </c>
      <c r="R65" s="196"/>
      <c r="S65" s="196"/>
      <c r="T65" s="328"/>
      <c r="V65" s="330"/>
    </row>
    <row r="66" spans="1:23" outlineLevel="1" x14ac:dyDescent="0.2">
      <c r="A66" s="458"/>
      <c r="B66" s="322">
        <f>J66/3*O66</f>
        <v>0</v>
      </c>
      <c r="C66" s="322">
        <f>IF($J$6&gt;1,IF($U$1&lt;&gt;0,IF(O66*(1+$O$6)&lt;=$U$1*0.25,O66*K66/3*(1+$O$6),$U$1*0.25*K66/3),O66*K66/3*(1+$O$6)),0)</f>
        <v>0</v>
      </c>
      <c r="D66" s="322">
        <f>IF($J$6&gt;2,IF($U$1&lt;&gt;0,IF(O66*(1+$O$6)^2&lt;=$U$1*0.25,O66*L66/3*(1+$O$6)^2,$U$1*0.25*L66/3),O66*L66/3*(1+$O$6)^2),0)</f>
        <v>0</v>
      </c>
      <c r="E66" s="322">
        <f>IF($J$6&gt;3,IF($U$1&lt;&gt;0,IF(O66*(1+$O$6)^3&lt;=$U$1*0.25,O66*M66/3*(1+$O$6)^3,$U$1*0.25*M66/3),O66*M66/3*(1+$O$6)^3),0)</f>
        <v>0</v>
      </c>
      <c r="F66" s="322">
        <f>IF($J$6&gt;4,IF($U$1&lt;&gt;0,IF(O66*(1+$O$6)^4&lt;=$U$1*0.25,O66*N66/3*(1+$O$6)^4,$U$1*0.25*N66/3),O66*N66/3*(1+$O$6)^4),0)</f>
        <v>0</v>
      </c>
      <c r="G66" s="318">
        <f>SUM(B66:F66)</f>
        <v>0</v>
      </c>
      <c r="H66" s="332"/>
      <c r="I66" s="324" t="s">
        <v>17</v>
      </c>
      <c r="J66" s="339">
        <v>0</v>
      </c>
      <c r="K66" s="339">
        <f>IF($J$6&gt;1,J66,0)</f>
        <v>0</v>
      </c>
      <c r="L66" s="339">
        <f>IF($J$6&gt;2,K66,0)</f>
        <v>0</v>
      </c>
      <c r="M66" s="339">
        <f>IF($J$6&gt;3,L66,0)</f>
        <v>0</v>
      </c>
      <c r="N66" s="339">
        <f>IF($J$6&gt;4,M66,0)</f>
        <v>0</v>
      </c>
      <c r="O66" s="334">
        <f>IF(U67="A",IF($U$1&lt;&gt;0,IF(T67*0.000731*456&gt;($U$1/12*3),($U$1/12*3),T67*0.000731*456),T67*0.000731*456),0)</f>
        <v>0</v>
      </c>
      <c r="P66" s="340"/>
      <c r="Q66" s="340">
        <f>((SUM(J63:N63)-SUM(J65:N65)*9)/(CEILING($J$6*3,3)))*3</f>
        <v>0</v>
      </c>
      <c r="R66" s="196"/>
      <c r="S66" s="196"/>
      <c r="V66" s="330"/>
    </row>
    <row r="67" spans="1:23" outlineLevel="1" x14ac:dyDescent="0.2">
      <c r="A67" s="321"/>
      <c r="B67" s="322"/>
      <c r="C67" s="322"/>
      <c r="D67" s="323"/>
      <c r="E67" s="323"/>
      <c r="F67" s="323"/>
      <c r="G67" s="341"/>
      <c r="H67" s="342"/>
      <c r="I67" s="343" t="s">
        <v>109</v>
      </c>
      <c r="J67" s="344">
        <f>SUM(B64:B66)*$V67</f>
        <v>0</v>
      </c>
      <c r="K67" s="344">
        <f>SUM(C64:C66)*$V67</f>
        <v>0</v>
      </c>
      <c r="L67" s="344">
        <f>SUM(D64:D66)*$V67</f>
        <v>0</v>
      </c>
      <c r="M67" s="344">
        <f>SUM(E64:E66)*$V67</f>
        <v>0</v>
      </c>
      <c r="N67" s="344">
        <f>SUM(F64:F66)*$V67</f>
        <v>0</v>
      </c>
      <c r="O67" s="345"/>
      <c r="P67" s="340"/>
      <c r="Q67" s="340"/>
      <c r="R67" s="196"/>
      <c r="S67" s="196"/>
      <c r="T67" s="346"/>
      <c r="U67" s="347"/>
      <c r="V67" s="348"/>
      <c r="W67" s="349"/>
    </row>
    <row r="68" spans="1:23" outlineLevel="1" x14ac:dyDescent="0.2">
      <c r="A68" s="321"/>
      <c r="B68" s="322"/>
      <c r="C68" s="322"/>
      <c r="D68" s="323"/>
      <c r="E68" s="323"/>
      <c r="F68" s="323"/>
      <c r="G68" s="341"/>
      <c r="H68" s="342"/>
      <c r="I68" s="302" t="s">
        <v>187</v>
      </c>
      <c r="J68" s="351"/>
      <c r="K68" s="351" t="str">
        <f>IF(ISNUMBER(J68),(IF(J68+1&lt;8,J68+1,J68))," ")</f>
        <v xml:space="preserve"> </v>
      </c>
      <c r="L68" s="351" t="str">
        <f>IF(ISNUMBER(K68),(IF(K68+1&lt;8,K68+1,K68))," ")</f>
        <v xml:space="preserve"> </v>
      </c>
      <c r="M68" s="351" t="str">
        <f>IF(ISNUMBER(L68),(IF(L68+1&lt;8,L68+1,L68))," ")</f>
        <v xml:space="preserve"> </v>
      </c>
      <c r="N68" s="351" t="str">
        <f>IF(ISNUMBER(M68),(IF(M68+1&lt;8,M68+1,M68))," ")</f>
        <v xml:space="preserve"> </v>
      </c>
      <c r="O68" s="352"/>
      <c r="P68" s="340"/>
      <c r="Q68" s="340"/>
      <c r="R68" s="196"/>
      <c r="S68" s="196"/>
      <c r="T68" s="328"/>
      <c r="V68" s="353"/>
    </row>
    <row r="69" spans="1:23" outlineLevel="1" x14ac:dyDescent="0.2">
      <c r="A69" s="446" t="s">
        <v>195</v>
      </c>
      <c r="B69" s="322"/>
      <c r="C69" s="322"/>
      <c r="D69" s="322"/>
      <c r="E69" s="322"/>
      <c r="F69" s="322"/>
      <c r="G69" s="318"/>
      <c r="H69" s="332"/>
      <c r="I69" s="324" t="s">
        <v>128</v>
      </c>
      <c r="J69" s="325">
        <f>J70*12</f>
        <v>0</v>
      </c>
      <c r="K69" s="325">
        <f>K70*12</f>
        <v>0</v>
      </c>
      <c r="L69" s="325">
        <f>L70*12</f>
        <v>0</v>
      </c>
      <c r="M69" s="325">
        <f>M70*12</f>
        <v>0</v>
      </c>
      <c r="N69" s="325">
        <f>N70*12</f>
        <v>0</v>
      </c>
      <c r="O69" s="311" t="s">
        <v>51</v>
      </c>
      <c r="P69" s="326" t="s">
        <v>126</v>
      </c>
      <c r="Q69" s="326" t="s">
        <v>127</v>
      </c>
      <c r="U69" s="116"/>
      <c r="V69" s="330"/>
    </row>
    <row r="70" spans="1:23" outlineLevel="1" x14ac:dyDescent="0.2">
      <c r="A70" s="331" t="str">
        <f>ROUND(P70*100, 2)&amp;"% Avg. Fiscal Effort, "&amp;ROUND(Q70, 2)&amp;" Avg. Calendar Months"</f>
        <v>0% Avg. Fiscal Effort, 0 Avg. Calendar Months</v>
      </c>
      <c r="B70" s="322">
        <f>IF(ISNUMBER(J68),(HLOOKUP(J68,$AB$2:$AI$3,2,FALSE)*J70),O70*J70)</f>
        <v>0</v>
      </c>
      <c r="C70" s="322">
        <f>IF(ISNUMBER(K68),(HLOOKUP(K68,$AB$2:$AI$3,2,FALSE)*K70),IF($J$6&gt;1,IF($U$1&lt;&gt;0,IF(O70*(1+$O$6)&lt;=$U$1,O70*K70*(1+$O$6),$U$1*K70),O70*K70*(1+$O$6)),0))</f>
        <v>0</v>
      </c>
      <c r="D70" s="322">
        <f>IF(ISNUMBER(L68),(HLOOKUP(L68,$AB$2:$AI$3,2,FALSE)*L70),IF($J$6&gt;2,IF($U$1&lt;&gt;0,IF(O70*(1+$O$6)^2&lt;=$U$1,O70*L70*(1+$O$6)^2,$U$1*L70),O70*L70*(1+$O$6)^2),0))</f>
        <v>0</v>
      </c>
      <c r="E70" s="322">
        <f>IF(ISNUMBER(M68),(HLOOKUP(M68,$AB$2:$AI$3,2,FALSE)*M70),IF($J$6&gt;3,IF($U$1&lt;&gt;0,IF(O70*(1+$O$6)^3&lt;=$U$1,O70*M70*(1+$O$6)^3,$U$1*M70),O70*M70*(1+$O$6)^3),0))</f>
        <v>0</v>
      </c>
      <c r="F70" s="322">
        <f>IF(ISNUMBER(N68),(HLOOKUP(N68,$AB$2:$AI$3,2,FALSE)*N70),IF($J$6&gt;4,IF($U$1&lt;&gt;0,IF(O70*(1+$O$6)^4&lt;=$U$1,O70*N70*(1+$O$6)^4,$U$1*N70),O70*N70*(1+$O$6)^4),0))</f>
        <v>0</v>
      </c>
      <c r="G70" s="318">
        <f>SUM(B70:F70)</f>
        <v>0</v>
      </c>
      <c r="H70" s="332"/>
      <c r="I70" s="324" t="s">
        <v>26</v>
      </c>
      <c r="J70" s="333">
        <v>0</v>
      </c>
      <c r="K70" s="333">
        <f>IF($J$6&gt;1,J70,0)</f>
        <v>0</v>
      </c>
      <c r="L70" s="333">
        <f>IF($J$6&gt;2,K70,0)</f>
        <v>0</v>
      </c>
      <c r="M70" s="333">
        <f>IF($J$6&gt;3,L70,0)</f>
        <v>0</v>
      </c>
      <c r="N70" s="333">
        <f>IF($J$6&gt;4,M70,0)</f>
        <v>0</v>
      </c>
      <c r="O70" s="354">
        <f>T71</f>
        <v>0</v>
      </c>
      <c r="P70" s="292">
        <f>SUM(J69:N69)/(ROUNDUP($J$6,0)*12)</f>
        <v>0</v>
      </c>
      <c r="Q70" s="335">
        <f>(SUM(J69:N69)/(CEILING($J$6*12,12)))*12</f>
        <v>0</v>
      </c>
      <c r="T70" s="115"/>
      <c r="V70" s="330"/>
    </row>
    <row r="71" spans="1:23" outlineLevel="1" x14ac:dyDescent="0.2">
      <c r="B71" s="322"/>
      <c r="C71" s="322"/>
      <c r="D71" s="322"/>
      <c r="E71" s="322"/>
      <c r="F71" s="322"/>
      <c r="G71" s="318"/>
      <c r="H71" s="332"/>
      <c r="I71" s="343" t="s">
        <v>109</v>
      </c>
      <c r="J71" s="355">
        <f>B70*$V71</f>
        <v>0</v>
      </c>
      <c r="K71" s="355">
        <f>C70*$V71</f>
        <v>0</v>
      </c>
      <c r="L71" s="355">
        <f>D70*$V71</f>
        <v>0</v>
      </c>
      <c r="M71" s="355">
        <f>E70*$V71</f>
        <v>0</v>
      </c>
      <c r="N71" s="355">
        <f>F70*$V71</f>
        <v>0</v>
      </c>
      <c r="O71" s="345"/>
      <c r="P71" s="337"/>
      <c r="Q71" s="338"/>
      <c r="T71" s="346"/>
      <c r="U71" s="356" t="s">
        <v>123</v>
      </c>
      <c r="V71" s="448">
        <f>$J$118</f>
        <v>0.17100000000000001</v>
      </c>
      <c r="W71" s="357"/>
    </row>
    <row r="72" spans="1:23" outlineLevel="1" x14ac:dyDescent="0.2">
      <c r="B72" s="322"/>
      <c r="C72" s="322"/>
      <c r="D72" s="322"/>
      <c r="E72" s="322"/>
      <c r="F72" s="322"/>
      <c r="G72" s="318"/>
      <c r="H72" s="332"/>
      <c r="I72" s="302" t="s">
        <v>187</v>
      </c>
      <c r="J72" s="351"/>
      <c r="K72" s="351" t="str">
        <f>IF(ISNUMBER(J72),(IF(J72+1&lt;8,J72+1,J72))," ")</f>
        <v xml:space="preserve"> </v>
      </c>
      <c r="L72" s="351" t="str">
        <f>IF(ISNUMBER(K72),(IF(K72+1&lt;8,K72+1,K72))," ")</f>
        <v xml:space="preserve"> </v>
      </c>
      <c r="M72" s="351" t="str">
        <f>IF(ISNUMBER(L72),(IF(L72+1&lt;8,L72+1,L72))," ")</f>
        <v xml:space="preserve"> </v>
      </c>
      <c r="N72" s="351" t="str">
        <f>IF(ISNUMBER(M72),(IF(M72+1&lt;8,M72+1,M72))," ")</f>
        <v xml:space="preserve"> </v>
      </c>
      <c r="O72" s="352"/>
      <c r="P72" s="337"/>
      <c r="Q72" s="338"/>
      <c r="T72" s="328"/>
      <c r="V72" s="353"/>
    </row>
    <row r="73" spans="1:23" outlineLevel="1" x14ac:dyDescent="0.2">
      <c r="A73" s="446" t="s">
        <v>195</v>
      </c>
      <c r="B73" s="322"/>
      <c r="C73" s="322"/>
      <c r="D73" s="322"/>
      <c r="E73" s="322"/>
      <c r="F73" s="322"/>
      <c r="G73" s="318"/>
      <c r="H73" s="332"/>
      <c r="I73" s="324" t="s">
        <v>128</v>
      </c>
      <c r="J73" s="325">
        <f>J74*12</f>
        <v>0</v>
      </c>
      <c r="K73" s="325">
        <f>K74*12</f>
        <v>0</v>
      </c>
      <c r="L73" s="325">
        <f>L74*12</f>
        <v>0</v>
      </c>
      <c r="M73" s="325">
        <f>M74*12</f>
        <v>0</v>
      </c>
      <c r="N73" s="325">
        <f>N74*12</f>
        <v>0</v>
      </c>
      <c r="O73" s="311" t="s">
        <v>51</v>
      </c>
      <c r="P73" s="326" t="s">
        <v>126</v>
      </c>
      <c r="Q73" s="326" t="s">
        <v>127</v>
      </c>
      <c r="U73" s="116"/>
      <c r="V73" s="360"/>
    </row>
    <row r="74" spans="1:23" outlineLevel="1" x14ac:dyDescent="0.2">
      <c r="A74" s="331" t="str">
        <f>ROUND(P74*100, 2)&amp;"% Avg. Fiscal Effort, "&amp;ROUND(Q74, 2)&amp;" Avg. Calendar Months"</f>
        <v>0% Avg. Fiscal Effort, 0 Avg. Calendar Months</v>
      </c>
      <c r="B74" s="322">
        <f>IF(ISNUMBER(J72),(HLOOKUP(J72,$AB$2:$AI$3,2,FALSE)*J74),O74*J74)</f>
        <v>0</v>
      </c>
      <c r="C74" s="322">
        <f>IF(ISNUMBER(K72),(HLOOKUP(K72,$AB$2:$AI$3,2,FALSE)*K74),IF($J$6&gt;1,IF($U$1&lt;&gt;0,IF(O74*(1+$O$6)&lt;=$U$1,O74*K74*(1+$O$6),$U$1*K74),O74*K74*(1+$O$6)),0))</f>
        <v>0</v>
      </c>
      <c r="D74" s="322">
        <f>IF(ISNUMBER(L72),(HLOOKUP(L72,$AB$2:$AI$3,2,FALSE)*L74),IF($J$6&gt;2,IF($U$1&lt;&gt;0,IF(O74*(1+$O$6)^2&lt;=$U$1,O74*L74*(1+$O$6)^2,$U$1*L74),O74*L74*(1+$O$6)^2),0))</f>
        <v>0</v>
      </c>
      <c r="E74" s="322">
        <f>IF(ISNUMBER(M72),(HLOOKUP(M72,$AB$2:$AI$3,2,FALSE)*M74),IF($J$6&gt;3,IF($U$1&lt;&gt;0,IF(O74*(1+$O$6)^3&lt;=$U$1,O74*M74*(1+$O$6)^3,$U$1*M74),O74*M74*(1+$O$6)^3),0))</f>
        <v>0</v>
      </c>
      <c r="F74" s="322">
        <f>IF(ISNUMBER(N72),(HLOOKUP(N72,$AB$2:$AI$3,2,FALSE)*N74),IF($J$6&gt;4,IF($U$1&lt;&gt;0,IF(O74*(1+$O$6)^4&lt;=$U$1,O74*N74*(1+$O$6)^4,$U$1*N74),O74*N74*(1+$O$6)^4),0))</f>
        <v>0</v>
      </c>
      <c r="G74" s="318">
        <f>SUM(B74:F74)</f>
        <v>0</v>
      </c>
      <c r="H74" s="332"/>
      <c r="I74" s="324" t="s">
        <v>26</v>
      </c>
      <c r="J74" s="333">
        <v>0</v>
      </c>
      <c r="K74" s="333">
        <f>IF($J$6&gt;1,J74,0)</f>
        <v>0</v>
      </c>
      <c r="L74" s="333">
        <f>IF($J$6&gt;2,K74,0)</f>
        <v>0</v>
      </c>
      <c r="M74" s="333">
        <f>IF($J$6&gt;3,L74,0)</f>
        <v>0</v>
      </c>
      <c r="N74" s="333">
        <f>IF($J$6&gt;4,M74,0)</f>
        <v>0</v>
      </c>
      <c r="O74" s="354">
        <f>T75</f>
        <v>0</v>
      </c>
      <c r="P74" s="292">
        <f>SUM(J73:N73)/(ROUNDUP($J$6,0)*12)</f>
        <v>0</v>
      </c>
      <c r="Q74" s="335">
        <f>(SUM(J73:N73)/(CEILING($J$6*12,12)))*12</f>
        <v>0</v>
      </c>
      <c r="T74" s="115"/>
      <c r="V74" s="360"/>
    </row>
    <row r="75" spans="1:23" outlineLevel="1" x14ac:dyDescent="0.2">
      <c r="B75" s="322"/>
      <c r="C75" s="322"/>
      <c r="D75" s="322"/>
      <c r="E75" s="322"/>
      <c r="F75" s="322"/>
      <c r="G75" s="318"/>
      <c r="H75" s="332"/>
      <c r="I75" s="343" t="s">
        <v>109</v>
      </c>
      <c r="J75" s="355">
        <f>B74*$V75</f>
        <v>0</v>
      </c>
      <c r="K75" s="355">
        <f>C74*$V75</f>
        <v>0</v>
      </c>
      <c r="L75" s="355">
        <f>D74*$V75</f>
        <v>0</v>
      </c>
      <c r="M75" s="355">
        <f>E74*$V75</f>
        <v>0</v>
      </c>
      <c r="N75" s="355">
        <f>F74*$V75</f>
        <v>0</v>
      </c>
      <c r="O75" s="345"/>
      <c r="P75" s="337"/>
      <c r="Q75" s="338"/>
      <c r="T75" s="346"/>
      <c r="U75" s="356" t="s">
        <v>123</v>
      </c>
      <c r="V75" s="448">
        <f>$J$118</f>
        <v>0.17100000000000001</v>
      </c>
      <c r="W75" s="357"/>
    </row>
    <row r="76" spans="1:23" outlineLevel="1" x14ac:dyDescent="0.2">
      <c r="B76" s="322"/>
      <c r="C76" s="322"/>
      <c r="D76" s="322"/>
      <c r="E76" s="322"/>
      <c r="F76" s="322"/>
      <c r="G76" s="318"/>
      <c r="H76" s="332"/>
      <c r="I76" s="302" t="s">
        <v>187</v>
      </c>
      <c r="J76" s="351"/>
      <c r="K76" s="351" t="str">
        <f>IF(ISNUMBER(J76),(IF(J76+1&lt;8,J76+1,J76))," ")</f>
        <v xml:space="preserve"> </v>
      </c>
      <c r="L76" s="351" t="str">
        <f>IF(ISNUMBER(K76),(IF(K76+1&lt;8,K76+1,K76))," ")</f>
        <v xml:space="preserve"> </v>
      </c>
      <c r="M76" s="351" t="str">
        <f>IF(ISNUMBER(L76),(IF(L76+1&lt;8,L76+1,L76))," ")</f>
        <v xml:space="preserve"> </v>
      </c>
      <c r="N76" s="351" t="str">
        <f>IF(ISNUMBER(M76),(IF(M76+1&lt;8,M76+1,M76))," ")</f>
        <v xml:space="preserve"> </v>
      </c>
      <c r="O76" s="352"/>
      <c r="P76" s="337"/>
      <c r="Q76" s="338"/>
      <c r="T76" s="328"/>
      <c r="V76" s="353"/>
    </row>
    <row r="77" spans="1:23" outlineLevel="1" x14ac:dyDescent="0.2">
      <c r="A77" s="446" t="s">
        <v>195</v>
      </c>
      <c r="B77" s="322"/>
      <c r="C77" s="322"/>
      <c r="D77" s="322"/>
      <c r="E77" s="322"/>
      <c r="F77" s="322"/>
      <c r="G77" s="318"/>
      <c r="H77" s="332"/>
      <c r="I77" s="324" t="s">
        <v>128</v>
      </c>
      <c r="J77" s="325">
        <f>J78*12</f>
        <v>0</v>
      </c>
      <c r="K77" s="325">
        <f>K78*12</f>
        <v>0</v>
      </c>
      <c r="L77" s="325">
        <f>L78*12</f>
        <v>0</v>
      </c>
      <c r="M77" s="325">
        <f>M78*12</f>
        <v>0</v>
      </c>
      <c r="N77" s="325">
        <f>N78*12</f>
        <v>0</v>
      </c>
      <c r="O77" s="311" t="s">
        <v>51</v>
      </c>
      <c r="P77" s="326" t="s">
        <v>126</v>
      </c>
      <c r="Q77" s="326" t="s">
        <v>127</v>
      </c>
      <c r="U77" s="116"/>
      <c r="V77" s="360"/>
    </row>
    <row r="78" spans="1:23" outlineLevel="1" x14ac:dyDescent="0.2">
      <c r="A78" s="331" t="str">
        <f>ROUND(P78*100, 2)&amp;"% Avg. Fiscal Effort, "&amp;ROUND(Q78, 2)&amp;" Avg. Calendar Months"</f>
        <v>0% Avg. Fiscal Effort, 0 Avg. Calendar Months</v>
      </c>
      <c r="B78" s="322">
        <f>IF(ISNUMBER(J76),(HLOOKUP(J76,$AB$2:$AI$3,2,FALSE)*J78),O78*J78)</f>
        <v>0</v>
      </c>
      <c r="C78" s="322">
        <f>IF(ISNUMBER(K76),(HLOOKUP(K76,$AB$2:$AI$3,2,FALSE)*K78),IF($J$6&gt;1,IF($U$1&lt;&gt;0,IF(O78*(1+$O$6)&lt;=$U$1,O78*K78*(1+$O$6),$U$1*K78),O78*K78*(1+$O$6)),0))</f>
        <v>0</v>
      </c>
      <c r="D78" s="322">
        <f>IF(ISNUMBER(L76),(HLOOKUP(L76,$AB$2:$AI$3,2,FALSE)*L78),IF($J$6&gt;2,IF($U$1&lt;&gt;0,IF(O78*(1+$O$6)^2&lt;=$U$1,O78*L78*(1+$O$6)^2,$U$1*L78),O78*L78*(1+$O$6)^2),0))</f>
        <v>0</v>
      </c>
      <c r="E78" s="322">
        <f>IF(ISNUMBER(M76),(HLOOKUP(M76,$AB$2:$AI$3,2,FALSE)*M78),IF($J$6&gt;3,IF($U$1&lt;&gt;0,IF(O78*(1+$O$6)^3&lt;=$U$1,O78*M78*(1+$O$6)^3,$U$1*M78),O78*M78*(1+$O$6)^3),0))</f>
        <v>0</v>
      </c>
      <c r="F78" s="322">
        <f>IF(ISNUMBER(N76),(HLOOKUP(N76,$AB$2:$AI$3,2,FALSE)*N78),IF($J$6&gt;4,IF($U$1&lt;&gt;0,IF(O78*(1+$O$6)^4&lt;=$U$1,O78*N78*(1+$O$6)^4,$U$1*N78),O78*N78*(1+$O$6)^4),0))</f>
        <v>0</v>
      </c>
      <c r="G78" s="318">
        <f>SUM(B78:F78)</f>
        <v>0</v>
      </c>
      <c r="H78" s="332"/>
      <c r="I78" s="324" t="s">
        <v>26</v>
      </c>
      <c r="J78" s="333">
        <v>0</v>
      </c>
      <c r="K78" s="333">
        <f>IF($J$6&gt;1,J78,0)</f>
        <v>0</v>
      </c>
      <c r="L78" s="333">
        <f>IF($J$6&gt;2,K78,0)</f>
        <v>0</v>
      </c>
      <c r="M78" s="333">
        <f>IF($J$6&gt;3,L78,0)</f>
        <v>0</v>
      </c>
      <c r="N78" s="333">
        <f>IF($J$6&gt;4,M78,0)</f>
        <v>0</v>
      </c>
      <c r="O78" s="354">
        <f>T79</f>
        <v>0</v>
      </c>
      <c r="P78" s="292">
        <f>SUM(J77:N77)/(ROUNDUP($J$6,0)*12)</f>
        <v>0</v>
      </c>
      <c r="Q78" s="335">
        <f>(SUM(J77:N77)/(CEILING($J$6*12,12)))*12</f>
        <v>0</v>
      </c>
      <c r="T78" s="115"/>
      <c r="V78" s="360"/>
    </row>
    <row r="79" spans="1:23" outlineLevel="1" x14ac:dyDescent="0.2">
      <c r="B79" s="322"/>
      <c r="C79" s="322"/>
      <c r="D79" s="322"/>
      <c r="E79" s="322"/>
      <c r="F79" s="322"/>
      <c r="G79" s="318"/>
      <c r="H79" s="332"/>
      <c r="I79" s="343" t="s">
        <v>109</v>
      </c>
      <c r="J79" s="355">
        <f>B78*$V79</f>
        <v>0</v>
      </c>
      <c r="K79" s="355">
        <f>C78*$V79</f>
        <v>0</v>
      </c>
      <c r="L79" s="355">
        <f>D78*$V79</f>
        <v>0</v>
      </c>
      <c r="M79" s="355">
        <f>E78*$V79</f>
        <v>0</v>
      </c>
      <c r="N79" s="355">
        <f>F78*$V79</f>
        <v>0</v>
      </c>
      <c r="O79" s="345"/>
      <c r="P79" s="337"/>
      <c r="Q79" s="338"/>
      <c r="T79" s="346"/>
      <c r="U79" s="356" t="s">
        <v>123</v>
      </c>
      <c r="V79" s="448">
        <f>$J$118</f>
        <v>0.17100000000000001</v>
      </c>
      <c r="W79" s="357"/>
    </row>
    <row r="80" spans="1:23" hidden="1" outlineLevel="1" x14ac:dyDescent="0.2">
      <c r="B80" s="322"/>
      <c r="C80" s="322"/>
      <c r="D80" s="322"/>
      <c r="E80" s="322"/>
      <c r="F80" s="322"/>
      <c r="G80" s="318"/>
      <c r="H80" s="332"/>
      <c r="I80" s="302" t="s">
        <v>187</v>
      </c>
      <c r="J80" s="351"/>
      <c r="K80" s="351" t="str">
        <f>IF(ISNUMBER(J80),(IF(J80+1&lt;8,J80+1,J80))," ")</f>
        <v xml:space="preserve"> </v>
      </c>
      <c r="L80" s="351" t="str">
        <f>IF(ISNUMBER(K80),(IF(K80+1&lt;8,K80+1,K80))," ")</f>
        <v xml:space="preserve"> </v>
      </c>
      <c r="M80" s="351" t="str">
        <f>IF(ISNUMBER(L80),(IF(L80+1&lt;8,L80+1,L80))," ")</f>
        <v xml:space="preserve"> </v>
      </c>
      <c r="N80" s="351" t="str">
        <f>IF(ISNUMBER(M80),(IF(M80+1&lt;8,M80+1,M80))," ")</f>
        <v xml:space="preserve"> </v>
      </c>
      <c r="O80" s="352"/>
      <c r="P80" s="337"/>
      <c r="Q80" s="338"/>
      <c r="T80" s="328"/>
      <c r="V80" s="353"/>
    </row>
    <row r="81" spans="1:23" hidden="1" outlineLevel="1" x14ac:dyDescent="0.2">
      <c r="A81" s="446" t="s">
        <v>195</v>
      </c>
      <c r="B81" s="322"/>
      <c r="C81" s="322"/>
      <c r="D81" s="322"/>
      <c r="E81" s="322"/>
      <c r="F81" s="322"/>
      <c r="G81" s="318"/>
      <c r="H81" s="332"/>
      <c r="I81" s="324" t="s">
        <v>128</v>
      </c>
      <c r="J81" s="325">
        <f>J82*12</f>
        <v>0</v>
      </c>
      <c r="K81" s="325">
        <f>K82*12</f>
        <v>0</v>
      </c>
      <c r="L81" s="325">
        <f>L82*12</f>
        <v>0</v>
      </c>
      <c r="M81" s="325">
        <f>M82*12</f>
        <v>0</v>
      </c>
      <c r="N81" s="325">
        <f>N82*12</f>
        <v>0</v>
      </c>
      <c r="O81" s="311" t="s">
        <v>51</v>
      </c>
      <c r="P81" s="326" t="s">
        <v>126</v>
      </c>
      <c r="Q81" s="326" t="s">
        <v>127</v>
      </c>
      <c r="U81" s="116"/>
      <c r="V81" s="360"/>
    </row>
    <row r="82" spans="1:23" hidden="1" outlineLevel="1" x14ac:dyDescent="0.2">
      <c r="A82" s="331" t="str">
        <f>ROUND(P82*100, 2)&amp;"% Avg. Fiscal Effort, "&amp;ROUND(Q82, 2)&amp;" Avg. Calendar Months"</f>
        <v>0% Avg. Fiscal Effort, 0 Avg. Calendar Months</v>
      </c>
      <c r="B82" s="322">
        <f>IF(ISNUMBER(J80),(HLOOKUP(J80,$AB$2:$AI$3,2,FALSE)*J82),O82*J82)</f>
        <v>0</v>
      </c>
      <c r="C82" s="322">
        <f>IF(ISNUMBER(K80),(HLOOKUP(K80,$AB$2:$AI$3,2,FALSE)*K82),IF($J$6&gt;1,IF($U$1&lt;&gt;0,IF(O82*(1+$O$6)&lt;=$U$1,O82*K82*(1+$O$6),$U$1*K82),O82*K82*(1+$O$6)),0))</f>
        <v>0</v>
      </c>
      <c r="D82" s="322">
        <f>IF(ISNUMBER(L80),(HLOOKUP(L80,$AB$2:$AI$3,2,FALSE)*L82),IF($J$6&gt;2,IF($U$1&lt;&gt;0,IF(O82*(1+$O$6)^2&lt;=$U$1,O82*L82*(1+$O$6)^2,$U$1*L82),O82*L82*(1+$O$6)^2),0))</f>
        <v>0</v>
      </c>
      <c r="E82" s="322">
        <f>IF(ISNUMBER(M80),(HLOOKUP(M80,$AB$2:$AI$3,2,FALSE)*M82),IF($J$6&gt;3,IF($U$1&lt;&gt;0,IF(O82*(1+$O$6)^3&lt;=$U$1,O82*M82*(1+$O$6)^3,$U$1*M82),O82*M82*(1+$O$6)^3),0))</f>
        <v>0</v>
      </c>
      <c r="F82" s="322">
        <f>IF(ISNUMBER(N80),(HLOOKUP(N80,$AB$2:$AI$3,2,FALSE)*N82),IF($J$6&gt;4,IF($U$1&lt;&gt;0,IF(O82*(1+$O$6)^4&lt;=$U$1,O82*N82*(1+$O$6)^4,$U$1*N82),O82*N82*(1+$O$6)^4),0))</f>
        <v>0</v>
      </c>
      <c r="G82" s="318">
        <f>SUM(B82:F82)</f>
        <v>0</v>
      </c>
      <c r="H82" s="332"/>
      <c r="I82" s="324" t="s">
        <v>26</v>
      </c>
      <c r="J82" s="333">
        <v>0</v>
      </c>
      <c r="K82" s="333">
        <f>IF($J$6&gt;1,J82,0)</f>
        <v>0</v>
      </c>
      <c r="L82" s="333">
        <f>IF($J$6&gt;2,K82,0)</f>
        <v>0</v>
      </c>
      <c r="M82" s="333">
        <f>IF($J$6&gt;3,L82,0)</f>
        <v>0</v>
      </c>
      <c r="N82" s="333">
        <f>IF($J$6&gt;4,M82,0)</f>
        <v>0</v>
      </c>
      <c r="O82" s="354">
        <f>T83</f>
        <v>0</v>
      </c>
      <c r="P82" s="292">
        <f>SUM(J81:N81)/(ROUNDUP($J$6,0)*12)</f>
        <v>0</v>
      </c>
      <c r="Q82" s="335">
        <f>(SUM(J81:N81)/(CEILING($J$6*12,12)))*12</f>
        <v>0</v>
      </c>
      <c r="T82" s="115"/>
      <c r="V82" s="360"/>
    </row>
    <row r="83" spans="1:23" hidden="1" outlineLevel="1" x14ac:dyDescent="0.2">
      <c r="B83" s="322"/>
      <c r="C83" s="322"/>
      <c r="D83" s="322"/>
      <c r="E83" s="322"/>
      <c r="F83" s="322"/>
      <c r="G83" s="318"/>
      <c r="H83" s="332"/>
      <c r="I83" s="343" t="s">
        <v>109</v>
      </c>
      <c r="J83" s="355">
        <f>B82*$V83</f>
        <v>0</v>
      </c>
      <c r="K83" s="355">
        <f>C82*$V83</f>
        <v>0</v>
      </c>
      <c r="L83" s="355">
        <f>D82*$V83</f>
        <v>0</v>
      </c>
      <c r="M83" s="355">
        <f>E82*$V83</f>
        <v>0</v>
      </c>
      <c r="N83" s="355">
        <f>F82*$V83</f>
        <v>0</v>
      </c>
      <c r="O83" s="345"/>
      <c r="P83" s="337"/>
      <c r="Q83" s="338"/>
      <c r="T83" s="346"/>
      <c r="U83" s="356" t="s">
        <v>123</v>
      </c>
      <c r="V83" s="448">
        <f>$J$118</f>
        <v>0.17100000000000001</v>
      </c>
      <c r="W83" s="357"/>
    </row>
    <row r="84" spans="1:23" outlineLevel="1" x14ac:dyDescent="0.2">
      <c r="B84" s="322"/>
      <c r="C84" s="322"/>
      <c r="D84" s="323"/>
      <c r="E84" s="323"/>
      <c r="F84" s="323"/>
      <c r="G84" s="318"/>
      <c r="H84" s="332"/>
      <c r="I84" s="302" t="s">
        <v>48</v>
      </c>
      <c r="J84" s="358" t="b">
        <f>IF(J86&gt;0%,IF(J86&lt;50%,IF(J86&gt;0,($U$3/2),0),$U$3),IF(J87&gt;0%,IF(J87&lt;50%,IF(J87&gt;0,($U$3/2),0),$U$3)))</f>
        <v>0</v>
      </c>
      <c r="K84" s="358" t="b">
        <f>IF(K86&gt;0%,IF(K86&lt;50%,IF(K86&gt;0,(($U$3*(1+$V$3))/2),0),($U$3*(1+$V$3))),IF(K87&gt;0%,IF(K87&lt;50%,IF(K87&gt;0,(($U$3*(1+$V$3))/2),0),($U$3*(1+$V$3)))))</f>
        <v>0</v>
      </c>
      <c r="L84" s="358" t="b">
        <f>IF(L86&gt;0%,IF(L86&lt;50%,IF(L86&gt;0,(($U$3*(1+$V$3)^2)/2),0),($U$3*(1+$V$3)^2)),IF(L87&gt;0%,IF(L87&lt;50%,IF(L87&gt;0,(($U$3*(1+$V$3)^2)/2),0),($U$3*(1+$V$3)^2))))</f>
        <v>0</v>
      </c>
      <c r="M84" s="358" t="b">
        <f>IF(M86&gt;0%,IF(M86&lt;50%,IF(M86&gt;0,(($U$3*(1+$V$3)^3)/2),0),($U$3*(1+$V$3)^3)),IF(M87&gt;0%,IF(M87&lt;50%,IF(M87&gt;0,(($U$3*(1+$V$3)^3)/2),0),($U$3*(1+$V$3)^3))))</f>
        <v>0</v>
      </c>
      <c r="N84" s="358" t="b">
        <f>IF(N86&gt;0%,IF(N86&lt;50%,IF(N86&gt;0,(($U$3*(1+$V$3)^4)/2),0),($U$3*(1+$V$3)^4)),IF(N87&gt;0%,IF(N87&lt;50%,IF(N87&gt;0,(($U$3*(1+$V$3)^4)/2),0),($U$3*(1+$V$3)^4))))</f>
        <v>0</v>
      </c>
      <c r="O84" s="311" t="s">
        <v>51</v>
      </c>
      <c r="P84" s="326"/>
      <c r="Q84" s="326"/>
      <c r="V84" s="364"/>
      <c r="W84" s="116"/>
    </row>
    <row r="85" spans="1:23" outlineLevel="1" x14ac:dyDescent="0.2">
      <c r="A85" s="446" t="s">
        <v>196</v>
      </c>
      <c r="B85" s="322"/>
      <c r="C85" s="322"/>
      <c r="D85" s="323"/>
      <c r="E85" s="323"/>
      <c r="F85" s="323"/>
      <c r="G85" s="318"/>
      <c r="H85" s="332"/>
      <c r="I85" s="324" t="s">
        <v>128</v>
      </c>
      <c r="J85" s="325">
        <f>IF($U89="F",J86*12,SUM(J87*9,J88))</f>
        <v>0</v>
      </c>
      <c r="K85" s="325">
        <f>IF($U89="F",K86*12,SUM(K87*9,K88))</f>
        <v>0</v>
      </c>
      <c r="L85" s="325">
        <f>IF($U89="F",L86*12,SUM(L87*9,L88))</f>
        <v>0</v>
      </c>
      <c r="M85" s="325">
        <f>IF($U89="F",M86*12,SUM(M87*9,M88))</f>
        <v>0</v>
      </c>
      <c r="N85" s="325">
        <f>IF($U89="F",N86*12,SUM(N87*9,N88))</f>
        <v>0</v>
      </c>
      <c r="O85" s="311"/>
      <c r="P85" s="326" t="s">
        <v>126</v>
      </c>
      <c r="Q85" s="326" t="s">
        <v>127</v>
      </c>
      <c r="V85" s="449"/>
      <c r="W85" s="116"/>
    </row>
    <row r="86" spans="1:23" outlineLevel="1" x14ac:dyDescent="0.2">
      <c r="A86" s="331" t="str">
        <f>ROUND(P86*100, 2)&amp;"% Avg. Fiscal Effort, "&amp;ROUND(Q86, 2)&amp;" Avg. Calendar Months"</f>
        <v>0% Avg. Fiscal Effort, 0 Avg. Calendar Months</v>
      </c>
      <c r="B86" s="322">
        <f>O86*J86</f>
        <v>0</v>
      </c>
      <c r="C86" s="322">
        <f>IF($J$6&gt;1,IF($U$1&lt;&gt;0,IF(O86*(1+$O$6)&lt;=$U$1,O86*K86*(1+$O$6),$U$1*K86),O86*K86*(1+$O$6)),0)</f>
        <v>0</v>
      </c>
      <c r="D86" s="322">
        <f>IF($J$6&gt;2,IF($U$1&lt;&gt;0,IF(O86*(1+$O$6)^2&lt;=$U$1,O86*L86*(1+$O$6)^2,$U$1*L86),O86*L86*(1+$O$6)^2),0)</f>
        <v>0</v>
      </c>
      <c r="E86" s="322">
        <f>IF($J$6&gt;3,IF($U$1&lt;&gt;0,IF(O86*(1+$O$6)^3&lt;=$U$1,O86*M86*(1+$O$6)^3,$U$1*M86),O86*M86*(1+$O$6)^3),0)</f>
        <v>0</v>
      </c>
      <c r="F86" s="322">
        <f>IF($J$6&gt;4,IF($U$1&lt;&gt;0,IF(O86*(1+$O$6)^4&lt;=$U$1,O86*N86*(1+$O$6)^4,$U$1*N86),O86*N86*(1+$O$6)^4),0)</f>
        <v>0</v>
      </c>
      <c r="G86" s="318">
        <f>SUM(B86:F86)</f>
        <v>0</v>
      </c>
      <c r="H86" s="332"/>
      <c r="I86" s="324" t="s">
        <v>26</v>
      </c>
      <c r="J86" s="333">
        <v>0</v>
      </c>
      <c r="K86" s="333">
        <f>IF($J$6&gt;1,J86,0)</f>
        <v>0</v>
      </c>
      <c r="L86" s="333">
        <f>IF($J$6&gt;2,K86,0)</f>
        <v>0</v>
      </c>
      <c r="M86" s="333">
        <f>IF($J$6&gt;3,L86,0)</f>
        <v>0</v>
      </c>
      <c r="N86" s="333">
        <f>IF($J$6&gt;4,M86,0)</f>
        <v>0</v>
      </c>
      <c r="O86" s="334">
        <f>IF(U89="F",T89,0)</f>
        <v>0</v>
      </c>
      <c r="P86" s="292">
        <f>SUM(J85:N85)/(ROUNDUP($J$6,0)*12)</f>
        <v>0</v>
      </c>
      <c r="Q86" s="335">
        <f>(SUM(J85:N85)/(CEILING($J$6*12,12)))*12</f>
        <v>0</v>
      </c>
      <c r="T86" s="328"/>
      <c r="V86" s="360"/>
      <c r="W86" s="116"/>
    </row>
    <row r="87" spans="1:23" ht="17.850000000000001" customHeight="1" outlineLevel="1" x14ac:dyDescent="0.2">
      <c r="A87" s="458" t="str">
        <f>ROUND(P86*100,2)&amp;"% Annualized Effort, "&amp;ROUND(Q87,2)&amp;" Avg. Academic Months
"&amp;IF(SUM(J88:N88)&gt;0," and "&amp;Q88 &amp;" Avg. Summer Months", "")</f>
        <v xml:space="preserve">0% Annualized Effort, 0 Avg. Academic Months
</v>
      </c>
      <c r="B87" s="322">
        <f>J87*O87</f>
        <v>0</v>
      </c>
      <c r="C87" s="322">
        <f>IF($J$6&gt;1,IF($U$1&lt;&gt;0,IF(O87*(1+$O$6)&lt;=$U$1*0.75,O87*K87*(1+$O$6),$U$1*0.75*K87),O87*K87*(1+$O$6)),0)</f>
        <v>0</v>
      </c>
      <c r="D87" s="322">
        <f>IF($J$6&gt;2,IF($U$1&lt;&gt;0,IF(O87*(1+$O$6)^2&lt;=$U$1*0.75,O87*L87*(1+$O$6)^2,$U$1*0.75*L87),O87*L87*(1+$O$6)^2),0)</f>
        <v>0</v>
      </c>
      <c r="E87" s="322">
        <f>IF($J$6&gt;3,IF($U$1&lt;&gt;0,IF(O87*(1+$O$6)^3&lt;=$U$1*0.75,O87*M87*(1+$O$6)^3,$U$1*0.75*M87),O87*M87*(1+$O$6)^3),0)</f>
        <v>0</v>
      </c>
      <c r="F87" s="322">
        <f>IF($J$6&gt;4,IF($U$1&lt;&gt;0,IF(O87*(1+$O$6)^4&lt;=$U$1*0.75,O87*N87*(1+$O$6)^4,$U$1*0.75*N87),O87*N87*(1+$O$6)^4),0)</f>
        <v>0</v>
      </c>
      <c r="G87" s="318">
        <f>SUM(B87:F87)</f>
        <v>0</v>
      </c>
      <c r="H87" s="332"/>
      <c r="I87" s="324" t="s">
        <v>15</v>
      </c>
      <c r="J87" s="333">
        <v>0</v>
      </c>
      <c r="K87" s="333">
        <f>IF($J$6&gt;1,J87,0)</f>
        <v>0</v>
      </c>
      <c r="L87" s="333">
        <f>IF($J$6&gt;2,K87,0)</f>
        <v>0</v>
      </c>
      <c r="M87" s="333">
        <f>IF($J$6&gt;3,L87,0)</f>
        <v>0</v>
      </c>
      <c r="N87" s="333">
        <f>IF($J$6&gt;4,M87,0)</f>
        <v>0</v>
      </c>
      <c r="O87" s="334">
        <f>IF(U89="A",T89,0)</f>
        <v>0</v>
      </c>
      <c r="P87" s="337"/>
      <c r="Q87" s="338">
        <f>((SUM(J85:N85)-SUM(J88:N88))/(CEILING($J$6*9,9)))*9</f>
        <v>0</v>
      </c>
      <c r="R87" s="196"/>
      <c r="S87" s="196"/>
      <c r="T87" s="328"/>
      <c r="V87" s="360"/>
      <c r="W87" s="116"/>
    </row>
    <row r="88" spans="1:23" outlineLevel="1" x14ac:dyDescent="0.2">
      <c r="A88" s="458"/>
      <c r="B88" s="322">
        <f>J88/2.76*O88</f>
        <v>0</v>
      </c>
      <c r="C88" s="322">
        <f>IF($J$6&gt;1,IF($U$1&lt;&gt;0,IF(O88*(1+$O$6)&lt;=$U$1*0.25,O88*K88/2.76*(1+$O$6),$U$1*0.25*K88/276),O88*K88/2.76*(1+$O$6)),0)</f>
        <v>0</v>
      </c>
      <c r="D88" s="322">
        <f>IF($J$6&gt;2,IF($U$1&lt;&gt;0,IF(O88*(1+$O$6)^2&lt;=$U$1*0.25,O88*L88/2.76*(1+$O$6)^2,$U$1*0.25*L88/2.76),O88*L88/2.76*(1+$O$6)^2),0)</f>
        <v>0</v>
      </c>
      <c r="E88" s="322">
        <f>IF($J$6&gt;3,IF($U$1&lt;&gt;0,IF(O88*(1+$O$6)^3&lt;=$U$1*0.25,O88*M88/2.76*(1+$O$6)^3,$U$1*0.25*M88/2.76),O88*M88/2.76*(1+$O$6)^3),0)</f>
        <v>0</v>
      </c>
      <c r="F88" s="322">
        <f>IF($J$6&gt;4,IF($U$1&lt;&gt;0,IF(O88*(1+$O$6)^4&lt;=$U$1*0.25,O88*N88/2.76*(1+$O$6)^4,$U$1*0.25*N88/2.76),O88*N88/2.76*(1+$O$6)^4),0)</f>
        <v>0</v>
      </c>
      <c r="G88" s="318">
        <f>SUM(B88:F88)</f>
        <v>0</v>
      </c>
      <c r="H88" s="332"/>
      <c r="I88" s="324" t="s">
        <v>17</v>
      </c>
      <c r="J88" s="339"/>
      <c r="K88" s="339">
        <f>IF($J$6&gt;1,J88,0)</f>
        <v>0</v>
      </c>
      <c r="L88" s="339">
        <f>IF($J$6&gt;2,K88,0)</f>
        <v>0</v>
      </c>
      <c r="M88" s="339">
        <f>IF($J$6&gt;3,L88,0)</f>
        <v>0</v>
      </c>
      <c r="N88" s="339">
        <f>IF($J$6&gt;4,M88,0)</f>
        <v>0</v>
      </c>
      <c r="O88" s="334">
        <f>IF(U89="A",T89*0.000731*420,0)</f>
        <v>0</v>
      </c>
      <c r="P88" s="340"/>
      <c r="Q88" s="340">
        <f>((SUM(J85:N85)-SUM(J87:N87)*9)/(CEILING($J$6*3,3)))*3</f>
        <v>0</v>
      </c>
      <c r="R88" s="196"/>
      <c r="S88" s="196"/>
      <c r="T88" s="411"/>
      <c r="V88" s="360"/>
      <c r="W88" s="116"/>
    </row>
    <row r="89" spans="1:23" outlineLevel="1" x14ac:dyDescent="0.2">
      <c r="A89" s="331"/>
      <c r="B89" s="322"/>
      <c r="C89" s="322"/>
      <c r="D89" s="322"/>
      <c r="E89" s="322"/>
      <c r="F89" s="322"/>
      <c r="G89" s="318"/>
      <c r="H89" s="332"/>
      <c r="I89" s="343" t="s">
        <v>109</v>
      </c>
      <c r="J89" s="361">
        <f>SUM(B86:B88)*$V89</f>
        <v>0</v>
      </c>
      <c r="K89" s="361">
        <f>SUM(C86:C88)*$V89</f>
        <v>0</v>
      </c>
      <c r="L89" s="361">
        <f>SUM(D86:D88)*$V89</f>
        <v>0</v>
      </c>
      <c r="M89" s="361">
        <f>SUM(E86:E88)*$V89</f>
        <v>0</v>
      </c>
      <c r="N89" s="361">
        <f>SUM(F86:F88)*$V89</f>
        <v>0</v>
      </c>
      <c r="O89" s="362"/>
      <c r="P89" s="340"/>
      <c r="Q89" s="340"/>
      <c r="R89" s="196"/>
      <c r="S89" s="196"/>
      <c r="T89" s="346"/>
      <c r="U89" s="347"/>
      <c r="V89" s="448">
        <f>$J$119</f>
        <v>0.13</v>
      </c>
      <c r="W89" s="363"/>
    </row>
    <row r="90" spans="1:23" outlineLevel="1" x14ac:dyDescent="0.2">
      <c r="B90" s="322"/>
      <c r="C90" s="322"/>
      <c r="D90" s="323"/>
      <c r="E90" s="323"/>
      <c r="F90" s="323"/>
      <c r="G90" s="318"/>
      <c r="H90" s="332"/>
      <c r="I90" s="302" t="s">
        <v>48</v>
      </c>
      <c r="J90" s="358" t="b">
        <f>IF(J92&gt;0%,IF(J92&lt;50%,IF(J92&gt;0,($U$3/2),0),$U$3),IF(J93&gt;0%,IF(J93&lt;50%,IF(J93&gt;0,($U$3/2),0),$U$3)))</f>
        <v>0</v>
      </c>
      <c r="K90" s="358" t="b">
        <f>IF(K92&gt;0%,IF(K92&lt;50%,IF(K92&gt;0,(($U$3*(1+$V$3))/2),0),($U$3*(1+$V$3))),IF(K93&gt;0%,IF(K93&lt;50%,IF(K93&gt;0,(($U$3*(1+$V$3))/2),0),($U$3*(1+$V$3)))))</f>
        <v>0</v>
      </c>
      <c r="L90" s="358" t="b">
        <f>IF(L92&gt;0%,IF(L92&lt;50%,IF(L92&gt;0,(($U$3*(1+$V$3)^2)/2),0),($U$3*(1+$V$3)^2)),IF(L93&gt;0%,IF(L93&lt;50%,IF(L93&gt;0,(($U$3*(1+$V$3)^2)/2),0),($U$3*(1+$V$3)^2))))</f>
        <v>0</v>
      </c>
      <c r="M90" s="358" t="b">
        <f>IF(M92&gt;0%,IF(M92&lt;50%,IF(M92&gt;0,(($U$3*(1+$V$3)^3)/2),0),($U$3*(1+$V$3)^3)),IF(M93&gt;0%,IF(M93&lt;50%,IF(M93&gt;0,(($U$3*(1+$V$3)^3)/2),0),($U$3*(1+$V$3)^3))))</f>
        <v>0</v>
      </c>
      <c r="N90" s="358" t="b">
        <f>IF(N92&gt;0%,IF(N92&lt;50%,IF(N92&gt;0,(($U$3*(1+$V$3)^4)/2),0),($U$3*(1+$V$3)^4)),IF(N93&gt;0%,IF(N93&lt;50%,IF(N93&gt;0,(($U$3*(1+$V$3)^4)/2),0),($U$3*(1+$V$3)^4))))</f>
        <v>0</v>
      </c>
      <c r="O90" s="311" t="s">
        <v>51</v>
      </c>
      <c r="P90" s="326"/>
      <c r="Q90" s="326"/>
      <c r="U90" s="116"/>
      <c r="V90" s="364"/>
      <c r="W90" s="116"/>
    </row>
    <row r="91" spans="1:23" outlineLevel="1" x14ac:dyDescent="0.2">
      <c r="A91" s="446" t="s">
        <v>196</v>
      </c>
      <c r="B91" s="322"/>
      <c r="C91" s="322"/>
      <c r="D91" s="323"/>
      <c r="E91" s="323"/>
      <c r="F91" s="323"/>
      <c r="G91" s="318"/>
      <c r="H91" s="332"/>
      <c r="I91" s="324" t="s">
        <v>128</v>
      </c>
      <c r="J91" s="325">
        <f>IF($U95="F",J92*12,SUM(J93*9,J94))</f>
        <v>0</v>
      </c>
      <c r="K91" s="325">
        <f>IF($U95="F",K92*12,SUM(K93*9,K94))</f>
        <v>0</v>
      </c>
      <c r="L91" s="325">
        <f>IF($U95="F",L92*12,SUM(L93*9,L94))</f>
        <v>0</v>
      </c>
      <c r="M91" s="325">
        <f>IF($U95="F",M92*12,SUM(M93*9,M94))</f>
        <v>0</v>
      </c>
      <c r="N91" s="325">
        <f>IF($U95="F",N92*12,SUM(N93*9,N94))</f>
        <v>0</v>
      </c>
      <c r="O91" s="311"/>
      <c r="P91" s="326" t="s">
        <v>126</v>
      </c>
      <c r="Q91" s="326" t="s">
        <v>127</v>
      </c>
      <c r="V91" s="364"/>
      <c r="W91" s="116"/>
    </row>
    <row r="92" spans="1:23" outlineLevel="1" x14ac:dyDescent="0.2">
      <c r="A92" s="331" t="str">
        <f>ROUND(P92*100, 2)&amp;"% Avg. Fiscal Effort, "&amp;ROUND(Q92, 2)&amp;" Avg. Calendar Months"</f>
        <v>0% Avg. Fiscal Effort, 0 Avg. Calendar Months</v>
      </c>
      <c r="B92" s="322">
        <f>O92*J92</f>
        <v>0</v>
      </c>
      <c r="C92" s="322">
        <f>IF($J$6&gt;1,IF($U$1&lt;&gt;0,IF(O92*(1+$O$6)&lt;=$U$1,O92*K92*(1+$O$6),$U$1*K92),O92*K92*(1+$O$6)),0)</f>
        <v>0</v>
      </c>
      <c r="D92" s="322">
        <f>IF($J$6&gt;2,IF($U$1&lt;&gt;0,IF(O92*(1+$O$6)^2&lt;=$U$1,O92*L92*(1+$O$6)^2,$U$1*L92),O92*L92*(1+$O$6)^2),0)</f>
        <v>0</v>
      </c>
      <c r="E92" s="322">
        <f>IF($J$6&gt;3,IF($U$1&lt;&gt;0,IF(O92*(1+$O$6)^3&lt;=$U$1,O92*M92*(1+$O$6)^3,$U$1*M92),O92*M92*(1+$O$6)^3),0)</f>
        <v>0</v>
      </c>
      <c r="F92" s="322">
        <f>IF($J$6&gt;4,IF($U$1&lt;&gt;0,IF(O92*(1+$O$6)^4&lt;=$U$1,O92*N92*(1+$O$6)^4,$U$1*N92),O92*N92*(1+$O$6)^4),0)</f>
        <v>0</v>
      </c>
      <c r="G92" s="318">
        <f>SUM(B92:F92)</f>
        <v>0</v>
      </c>
      <c r="H92" s="332"/>
      <c r="I92" s="324" t="s">
        <v>26</v>
      </c>
      <c r="J92" s="333">
        <v>0</v>
      </c>
      <c r="K92" s="333">
        <f>IF($J$6&gt;1,J92,0)</f>
        <v>0</v>
      </c>
      <c r="L92" s="333">
        <f>IF($J$6&gt;2,K92,0)</f>
        <v>0</v>
      </c>
      <c r="M92" s="333">
        <f>IF($J$6&gt;3,L92,0)</f>
        <v>0</v>
      </c>
      <c r="N92" s="333">
        <f>IF($J$6&gt;4,M92,0)</f>
        <v>0</v>
      </c>
      <c r="O92" s="334">
        <f>IF(U95="F",T95,0)</f>
        <v>0</v>
      </c>
      <c r="P92" s="292">
        <f>SUM(J91:N91)/(ROUNDUP($J$6,0)*12)</f>
        <v>0</v>
      </c>
      <c r="Q92" s="335">
        <f>(SUM(J91:N91)/(CEILING($J$6*12,12)))*12</f>
        <v>0</v>
      </c>
      <c r="T92" s="328"/>
      <c r="V92" s="360"/>
      <c r="W92" s="116"/>
    </row>
    <row r="93" spans="1:23" ht="17.850000000000001" customHeight="1" outlineLevel="1" x14ac:dyDescent="0.2">
      <c r="A93" s="458" t="str">
        <f>ROUND(P92*100,2)&amp;"% Annualized Effort, "&amp;ROUND(Q93,2)&amp;" Avg. Academic Months
"&amp;IF(SUM(J94:N94)&gt;0," and "&amp;Q94 &amp;" Avg. Summer Months", "")</f>
        <v xml:space="preserve">0% Annualized Effort, 0 Avg. Academic Months
</v>
      </c>
      <c r="B93" s="322">
        <f>J93*O93</f>
        <v>0</v>
      </c>
      <c r="C93" s="322">
        <f>IF($J$6&gt;1,IF($U$1&lt;&gt;0,IF(O93*(1+$O$6)&lt;=$U$1*0.75,O93*K93*(1+$O$6),$U$1*0.75*K93),O93*K93*(1+$O$6)),0)</f>
        <v>0</v>
      </c>
      <c r="D93" s="322">
        <f>IF($J$6&gt;2,IF($U$1&lt;&gt;0,IF(O93*(1+$O$6)^2&lt;=$U$1*0.75,O93*L93*(1+$O$6)^2,$U$1*0.75*L93),O93*L93*(1+$O$6)^2),0)</f>
        <v>0</v>
      </c>
      <c r="E93" s="322">
        <f>IF($J$6&gt;3,IF($U$1&lt;&gt;0,IF(O93*(1+$O$6)^3&lt;=$U$1*0.75,O93*M93*(1+$O$6)^3,$U$1*0.75*M93),O93*M93*(1+$O$6)^3),0)</f>
        <v>0</v>
      </c>
      <c r="F93" s="322">
        <f>IF($J$6&gt;4,IF($U$1&lt;&gt;0,IF(O93*(1+$O$6)^4&lt;=$U$1*0.75,O93*N93*(1+$O$6)^4,$U$1*0.75*N93),O93*N93*(1+$O$6)^4),0)</f>
        <v>0</v>
      </c>
      <c r="G93" s="318">
        <f>SUM(B93:F93)</f>
        <v>0</v>
      </c>
      <c r="H93" s="332"/>
      <c r="I93" s="324" t="s">
        <v>15</v>
      </c>
      <c r="J93" s="333">
        <v>0</v>
      </c>
      <c r="K93" s="333">
        <f>IF($J$6&gt;1,J93,0)</f>
        <v>0</v>
      </c>
      <c r="L93" s="333">
        <f>IF($J$6&gt;2,K93,0)</f>
        <v>0</v>
      </c>
      <c r="M93" s="333">
        <f>IF($J$6&gt;3,L93,0)</f>
        <v>0</v>
      </c>
      <c r="N93" s="333">
        <f>IF($J$6&gt;4,M93,0)</f>
        <v>0</v>
      </c>
      <c r="O93" s="334">
        <f>IF(U95="A",T95,0)</f>
        <v>0</v>
      </c>
      <c r="P93" s="337"/>
      <c r="Q93" s="338">
        <f>((SUM(J91:N91)-SUM(J94:N94))/(CEILING($J$6*9,9)))*9</f>
        <v>0</v>
      </c>
      <c r="R93" s="196"/>
      <c r="S93" s="196"/>
      <c r="T93" s="328"/>
      <c r="V93" s="360"/>
      <c r="W93" s="116"/>
    </row>
    <row r="94" spans="1:23" outlineLevel="1" x14ac:dyDescent="0.2">
      <c r="A94" s="458"/>
      <c r="B94" s="322">
        <f>J94/2.76*O94</f>
        <v>0</v>
      </c>
      <c r="C94" s="322">
        <f>IF($J$6&gt;1,IF($U$1&lt;&gt;0,IF(O94*(1+$O$6)&lt;=$U$1*0.25,O94*K94/2.76*(1+$O$6),$U$1*0.25*K94/276),O94*K94/2.76*(1+$O$6)),0)</f>
        <v>0</v>
      </c>
      <c r="D94" s="322">
        <f>IF($J$6&gt;2,IF($U$1&lt;&gt;0,IF(O94*(1+$O$6)^2&lt;=$U$1*0.25,O94*L94/2.76*(1+$O$6)^2,$U$1*0.25*L94/2.76),O94*L94/2.76*(1+$O$6)^2),0)</f>
        <v>0</v>
      </c>
      <c r="E94" s="322">
        <f>IF($J$6&gt;3,IF($U$1&lt;&gt;0,IF(O94*(1+$O$6)^3&lt;=$U$1*0.25,O94*M94/2.76*(1+$O$6)^3,$U$1*0.25*M94/2.76),O94*M94/2.76*(1+$O$6)^3),0)</f>
        <v>0</v>
      </c>
      <c r="F94" s="322">
        <f>IF($J$6&gt;4,IF($U$1&lt;&gt;0,IF(O94*(1+$O$6)^4&lt;=$U$1*0.25,O94*N94/2.76*(1+$O$6)^4,$U$1*0.25*N94/2.76),O94*N94/2.76*(1+$O$6)^4),0)</f>
        <v>0</v>
      </c>
      <c r="G94" s="318">
        <f>SUM(B94:F94)</f>
        <v>0</v>
      </c>
      <c r="H94" s="332"/>
      <c r="I94" s="324" t="s">
        <v>17</v>
      </c>
      <c r="J94" s="339"/>
      <c r="K94" s="339">
        <f>IF($J$6&gt;1,J94,0)</f>
        <v>0</v>
      </c>
      <c r="L94" s="339">
        <f>IF($J$6&gt;2,K94,0)</f>
        <v>0</v>
      </c>
      <c r="M94" s="339">
        <f>IF($J$6&gt;3,L94,0)</f>
        <v>0</v>
      </c>
      <c r="N94" s="339">
        <f>IF($J$6&gt;4,M94,0)</f>
        <v>0</v>
      </c>
      <c r="O94" s="334">
        <f>IF(U95="A",T95*0.000731*420,0)</f>
        <v>0</v>
      </c>
      <c r="P94" s="340"/>
      <c r="Q94" s="340">
        <f>((SUM(J91:N91)-SUM(J93:N93)*9)/(CEILING($J$6*3,3)))*3</f>
        <v>0</v>
      </c>
      <c r="R94" s="196"/>
      <c r="S94" s="196"/>
      <c r="V94" s="360"/>
      <c r="W94" s="116"/>
    </row>
    <row r="95" spans="1:23" outlineLevel="1" x14ac:dyDescent="0.2">
      <c r="A95" s="331"/>
      <c r="B95" s="322"/>
      <c r="C95" s="322"/>
      <c r="D95" s="322"/>
      <c r="E95" s="322"/>
      <c r="F95" s="322"/>
      <c r="G95" s="318"/>
      <c r="H95" s="332"/>
      <c r="I95" s="343" t="s">
        <v>109</v>
      </c>
      <c r="J95" s="361">
        <f>SUM(B92:B94)*$V95</f>
        <v>0</v>
      </c>
      <c r="K95" s="361">
        <f>SUM(C92:C94)*$V95</f>
        <v>0</v>
      </c>
      <c r="L95" s="361">
        <f>SUM(D92:D94)*$V95</f>
        <v>0</v>
      </c>
      <c r="M95" s="361">
        <f>SUM(E92:E94)*$V95</f>
        <v>0</v>
      </c>
      <c r="N95" s="361">
        <f>SUM(F92:F94)*$V95</f>
        <v>0</v>
      </c>
      <c r="O95" s="362"/>
      <c r="P95" s="340"/>
      <c r="Q95" s="340"/>
      <c r="R95" s="196"/>
      <c r="S95" s="196"/>
      <c r="T95" s="346"/>
      <c r="U95" s="347"/>
      <c r="V95" s="448">
        <f>$J$119</f>
        <v>0.13</v>
      </c>
      <c r="W95" s="363"/>
    </row>
    <row r="96" spans="1:23" outlineLevel="1" x14ac:dyDescent="0.2">
      <c r="B96" s="322"/>
      <c r="C96" s="322"/>
      <c r="D96" s="322"/>
      <c r="E96" s="322"/>
      <c r="F96" s="322"/>
      <c r="G96" s="318"/>
      <c r="H96" s="332"/>
      <c r="I96" s="302" t="s">
        <v>48</v>
      </c>
      <c r="J96" s="358" t="b">
        <f>IF(J98&gt;0%,IF(J98&lt;50%,IF(J98&gt;0,($U$3/2),0),$U$3),IF(J99&gt;0%,IF(J99&lt;50%,IF(J99&gt;0,($U$3/2),0),$U$3)))</f>
        <v>0</v>
      </c>
      <c r="K96" s="358" t="b">
        <f>IF(K98&gt;0%,IF(K98&lt;50%,IF(K98&gt;0,(($U$3*(1+$V$3))/2),0),($U$3*(1+$V$3))),IF(K99&gt;0%,IF(K99&lt;50%,IF(K99&gt;0,(($U$3*(1+$V$3))/2),0),($U$3*(1+$V$3)))))</f>
        <v>0</v>
      </c>
      <c r="L96" s="358" t="b">
        <f>IF(L98&gt;0%,IF(L98&lt;50%,IF(L98&gt;0,(($U$3*(1+$V$3)^2)/2),0),($U$3*(1+$V$3)^2)),IF(L99&gt;0%,IF(L99&lt;50%,IF(L99&gt;0,(($U$3*(1+$V$3)^2)/2),0),($U$3*(1+$V$3)^2))))</f>
        <v>0</v>
      </c>
      <c r="M96" s="358" t="b">
        <f>IF(M98&gt;0%,IF(M98&lt;50%,IF(M98&gt;0,(($U$3*(1+$V$3)^3)/2),0),($U$3*(1+$V$3)^3)),IF(M99&gt;0%,IF(M99&lt;50%,IF(M99&gt;0,(($U$3*(1+$V$3)^3)/2),0),($U$3*(1+$V$3)^3))))</f>
        <v>0</v>
      </c>
      <c r="N96" s="358" t="b">
        <f>IF(N98&gt;0%,IF(N98&lt;50%,IF(N98&gt;0,(($U$3*(1+$V$3)^4)/2),0),($U$3*(1+$V$3)^4)),IF(N99&gt;0%,IF(N99&lt;50%,IF(N99&gt;0,(($U$3*(1+$V$3)^4)/2),0),($U$3*(1+$V$3)^4))))</f>
        <v>0</v>
      </c>
      <c r="O96" s="311" t="s">
        <v>51</v>
      </c>
      <c r="P96" s="326"/>
      <c r="Q96" s="326"/>
      <c r="U96" s="116"/>
      <c r="V96" s="364"/>
      <c r="W96" s="116"/>
    </row>
    <row r="97" spans="1:23" outlineLevel="1" x14ac:dyDescent="0.2">
      <c r="A97" s="446" t="s">
        <v>196</v>
      </c>
      <c r="B97" s="322"/>
      <c r="C97" s="322"/>
      <c r="D97" s="322"/>
      <c r="E97" s="322"/>
      <c r="F97" s="322"/>
      <c r="G97" s="318"/>
      <c r="H97" s="332"/>
      <c r="I97" s="324" t="s">
        <v>128</v>
      </c>
      <c r="J97" s="325">
        <f>IF($U101="F",J98*12,SUM(J99*9,J100))</f>
        <v>0</v>
      </c>
      <c r="K97" s="325">
        <f>IF($U101="F",K98*12,SUM(K99*9,K100))</f>
        <v>0</v>
      </c>
      <c r="L97" s="325">
        <f>IF($U101="F",L98*12,SUM(L99*9,L100))</f>
        <v>0</v>
      </c>
      <c r="M97" s="325">
        <f>IF($U101="F",M98*12,SUM(M99*9,M100))</f>
        <v>0</v>
      </c>
      <c r="N97" s="325">
        <f>IF($U101="F",N98*12,SUM(N99*9,N100))</f>
        <v>0</v>
      </c>
      <c r="O97" s="311"/>
      <c r="P97" s="326" t="s">
        <v>126</v>
      </c>
      <c r="Q97" s="326" t="s">
        <v>127</v>
      </c>
      <c r="V97" s="364"/>
      <c r="W97" s="116"/>
    </row>
    <row r="98" spans="1:23" outlineLevel="1" x14ac:dyDescent="0.2">
      <c r="A98" s="331" t="str">
        <f>ROUND(P98*100, 2)&amp;"% Avg. Fiscal Effort, "&amp;ROUND(Q98, 2)&amp;" Avg. Calendar Months"</f>
        <v>0% Avg. Fiscal Effort, 0 Avg. Calendar Months</v>
      </c>
      <c r="B98" s="322">
        <f>O98*J98</f>
        <v>0</v>
      </c>
      <c r="C98" s="322">
        <f>IF($J$6&gt;1,IF($U$1&lt;&gt;0,IF(O98*(1+$O$6)&lt;=$U$1,O98*K98*(1+$O$6),$U$1*K98),O98*K98*(1+$O$6)),0)</f>
        <v>0</v>
      </c>
      <c r="D98" s="322">
        <f>IF($J$6&gt;2,IF($U$1&lt;&gt;0,IF(O98*(1+$O$6)^2&lt;=$U$1,O98*L98*(1+$O$6)^2,$U$1*L98),O98*L98*(1+$O$6)^2),0)</f>
        <v>0</v>
      </c>
      <c r="E98" s="322">
        <f>IF($J$6&gt;3,IF($U$1&lt;&gt;0,IF(O98*(1+$O$6)^3&lt;=$U$1,O98*M98*(1+$O$6)^3,$U$1*M98),O98*M98*(1+$O$6)^3),0)</f>
        <v>0</v>
      </c>
      <c r="F98" s="322">
        <f>IF($J$6&gt;4,IF($U$1&lt;&gt;0,IF(O98*(1+$O$6)^4&lt;=$U$1,O98*N98*(1+$O$6)^4,$U$1*N98),O98*N98*(1+$O$6)^4),0)</f>
        <v>0</v>
      </c>
      <c r="G98" s="318">
        <f>SUM(B98:F98)</f>
        <v>0</v>
      </c>
      <c r="H98" s="332"/>
      <c r="I98" s="324" t="s">
        <v>26</v>
      </c>
      <c r="J98" s="333">
        <v>0</v>
      </c>
      <c r="K98" s="333">
        <f>IF($J$6&gt;1,J98,0)</f>
        <v>0</v>
      </c>
      <c r="L98" s="333">
        <f>IF($J$6&gt;2,K98,0)</f>
        <v>0</v>
      </c>
      <c r="M98" s="333">
        <f>IF($J$6&gt;3,L98,0)</f>
        <v>0</v>
      </c>
      <c r="N98" s="333">
        <f>IF($J$6&gt;4,M98,0)</f>
        <v>0</v>
      </c>
      <c r="O98" s="334">
        <f>IF(U101="F",T101,0)</f>
        <v>0</v>
      </c>
      <c r="P98" s="292">
        <f>SUM(J97:N97)/(ROUNDUP($J$6,0)*12)</f>
        <v>0</v>
      </c>
      <c r="Q98" s="335">
        <f>(SUM(J97:N97)/(CEILING($J$6*12,12)))*12</f>
        <v>0</v>
      </c>
      <c r="T98" s="328"/>
      <c r="V98" s="360"/>
      <c r="W98" s="116"/>
    </row>
    <row r="99" spans="1:23" ht="17.850000000000001" customHeight="1" outlineLevel="1" x14ac:dyDescent="0.2">
      <c r="A99" s="458" t="str">
        <f>ROUND(P98*100,2)&amp;"% Annualized Effort, "&amp;ROUND(Q99,2)&amp;" Avg. Academic Months
"&amp;IF(SUM(J100:N100)&gt;0," and "&amp;Q100 &amp;" Avg. Summer Months", "")</f>
        <v xml:space="preserve">0% Annualized Effort, 0 Avg. Academic Months
</v>
      </c>
      <c r="B99" s="322">
        <f>J99*O99</f>
        <v>0</v>
      </c>
      <c r="C99" s="322">
        <f>IF($J$6&gt;1,IF($U$1&lt;&gt;0,IF(O99*(1+$O$6)&lt;=$U$1*0.75,O99*K99*(1+$O$6),$U$1*0.75*K99),O99*K99*(1+$O$6)),0)</f>
        <v>0</v>
      </c>
      <c r="D99" s="322">
        <f>IF($J$6&gt;2,IF($U$1&lt;&gt;0,IF(O99*(1+$O$6)^2&lt;=$U$1*0.75,O99*L99*(1+$O$6)^2,$U$1*0.75*L99),O99*L99*(1+$O$6)^2),0)</f>
        <v>0</v>
      </c>
      <c r="E99" s="322">
        <f>IF($J$6&gt;3,IF($U$1&lt;&gt;0,IF(O99*(1+$O$6)^3&lt;=$U$1*0.75,O99*M99*(1+$O$6)^3,$U$1*0.75*M99),O99*M99*(1+$O$6)^3),0)</f>
        <v>0</v>
      </c>
      <c r="F99" s="322">
        <f>IF($J$6&gt;4,IF($U$1&lt;&gt;0,IF(O99*(1+$O$6)^4&lt;=$U$1*0.75,O99*N99*(1+$O$6)^4,$U$1*0.75*N99),O99*N99*(1+$O$6)^4),0)</f>
        <v>0</v>
      </c>
      <c r="G99" s="318">
        <f>SUM(B99:F99)</f>
        <v>0</v>
      </c>
      <c r="H99" s="332"/>
      <c r="I99" s="324" t="s">
        <v>15</v>
      </c>
      <c r="J99" s="333">
        <v>0</v>
      </c>
      <c r="K99" s="333">
        <f>IF($J$6&gt;1,J99,0)</f>
        <v>0</v>
      </c>
      <c r="L99" s="333">
        <f>IF($J$6&gt;2,K99,0)</f>
        <v>0</v>
      </c>
      <c r="M99" s="333">
        <f>IF($J$6&gt;3,L99,0)</f>
        <v>0</v>
      </c>
      <c r="N99" s="333">
        <f>IF($J$6&gt;4,M99,0)</f>
        <v>0</v>
      </c>
      <c r="O99" s="334">
        <f>IF(U101="A",T101,0)</f>
        <v>0</v>
      </c>
      <c r="P99" s="337"/>
      <c r="Q99" s="338">
        <f>((SUM(J97:N97)-SUM(J100:N100))/(CEILING($J$6*9,9)))*9</f>
        <v>0</v>
      </c>
      <c r="R99" s="196"/>
      <c r="S99" s="196"/>
      <c r="T99" s="328"/>
      <c r="V99" s="360"/>
      <c r="W99" s="116"/>
    </row>
    <row r="100" spans="1:23" outlineLevel="1" x14ac:dyDescent="0.2">
      <c r="A100" s="458"/>
      <c r="B100" s="322">
        <f>J100/2.76*O100</f>
        <v>0</v>
      </c>
      <c r="C100" s="322">
        <f>IF($J$6&gt;1,IF($U$1&lt;&gt;0,IF(O100*(1+$O$6)&lt;=$U$1*0.25,O100*K100/2.76*(1+$O$6),$U$1*0.25*K100/276),O100*K100/2.76*(1+$O$6)),0)</f>
        <v>0</v>
      </c>
      <c r="D100" s="322">
        <f>IF($J$6&gt;2,IF($U$1&lt;&gt;0,IF(O100*(1+$O$6)^2&lt;=$U$1*0.25,O100*L100/2.76*(1+$O$6)^2,$U$1*0.25*L100/2.76),O100*L100/2.76*(1+$O$6)^2),0)</f>
        <v>0</v>
      </c>
      <c r="E100" s="322">
        <f>IF($J$6&gt;3,IF($U$1&lt;&gt;0,IF(O100*(1+$O$6)^3&lt;=$U$1*0.25,O100*M100/2.76*(1+$O$6)^3,$U$1*0.25*M100/2.76),O100*M100/2.76*(1+$O$6)^3),0)</f>
        <v>0</v>
      </c>
      <c r="F100" s="322">
        <f>IF($J$6&gt;4,IF($U$1&lt;&gt;0,IF(O100*(1+$O$6)^4&lt;=$U$1*0.25,O100*N100/2.76*(1+$O$6)^4,$U$1*0.25*N100/2.76),O100*N100/2.76*(1+$O$6)^4),0)</f>
        <v>0</v>
      </c>
      <c r="G100" s="318">
        <f>SUM(B100:F100)</f>
        <v>0</v>
      </c>
      <c r="H100" s="332"/>
      <c r="I100" s="324" t="s">
        <v>17</v>
      </c>
      <c r="J100" s="339"/>
      <c r="K100" s="339">
        <f>IF($J$6&gt;1,J100,0)</f>
        <v>0</v>
      </c>
      <c r="L100" s="339">
        <f>IF($J$6&gt;2,K100,0)</f>
        <v>0</v>
      </c>
      <c r="M100" s="339">
        <f>IF($J$6&gt;3,L100,0)</f>
        <v>0</v>
      </c>
      <c r="N100" s="339">
        <f>IF($J$6&gt;4,M100,0)</f>
        <v>0</v>
      </c>
      <c r="O100" s="334">
        <f>IF(U101="A",T101*0.000731*420,0)</f>
        <v>0</v>
      </c>
      <c r="P100" s="340"/>
      <c r="Q100" s="340">
        <f>((SUM(J97:N97)-SUM(J99:N99)*9)/(CEILING($J$6*3,3)))*3</f>
        <v>0</v>
      </c>
      <c r="R100" s="196"/>
      <c r="S100" s="196"/>
      <c r="V100" s="360"/>
      <c r="W100" s="116"/>
    </row>
    <row r="101" spans="1:23" outlineLevel="1" x14ac:dyDescent="0.2">
      <c r="A101" s="331"/>
      <c r="B101" s="322"/>
      <c r="C101" s="322"/>
      <c r="D101" s="322"/>
      <c r="E101" s="322"/>
      <c r="F101" s="322"/>
      <c r="G101" s="318"/>
      <c r="H101" s="332"/>
      <c r="I101" s="343" t="s">
        <v>109</v>
      </c>
      <c r="J101" s="361">
        <f>SUM(B98:B100)*$V101</f>
        <v>0</v>
      </c>
      <c r="K101" s="361">
        <f>SUM(C98:C100)*$V101</f>
        <v>0</v>
      </c>
      <c r="L101" s="361">
        <f>SUM(D98:D100)*$V101</f>
        <v>0</v>
      </c>
      <c r="M101" s="361">
        <f>SUM(E98:E100)*$V101</f>
        <v>0</v>
      </c>
      <c r="N101" s="361">
        <f>SUM(F98:F100)*$V101</f>
        <v>0</v>
      </c>
      <c r="O101" s="362"/>
      <c r="P101" s="340"/>
      <c r="Q101" s="340"/>
      <c r="R101" s="196"/>
      <c r="S101" s="196"/>
      <c r="T101" s="346"/>
      <c r="U101" s="347"/>
      <c r="V101" s="448">
        <f>$J$119</f>
        <v>0.13</v>
      </c>
      <c r="W101" s="363"/>
    </row>
    <row r="102" spans="1:23" outlineLevel="1" x14ac:dyDescent="0.2">
      <c r="A102" s="331"/>
      <c r="B102" s="322"/>
      <c r="C102" s="322"/>
      <c r="D102" s="323"/>
      <c r="E102" s="323"/>
      <c r="F102" s="323"/>
      <c r="G102" s="318"/>
      <c r="H102" s="332"/>
      <c r="I102" s="365"/>
      <c r="J102" s="291" t="s">
        <v>6</v>
      </c>
      <c r="K102" s="291" t="s">
        <v>5</v>
      </c>
      <c r="L102" s="291" t="s">
        <v>7</v>
      </c>
      <c r="M102" s="291" t="s">
        <v>8</v>
      </c>
      <c r="N102" s="291" t="s">
        <v>9</v>
      </c>
      <c r="O102" s="296" t="s">
        <v>50</v>
      </c>
      <c r="P102" s="292"/>
      <c r="Q102" s="292"/>
      <c r="T102" s="291" t="s">
        <v>50</v>
      </c>
      <c r="U102" s="116"/>
      <c r="V102" s="359"/>
      <c r="W102" s="116"/>
    </row>
    <row r="103" spans="1:23" outlineLevel="1" x14ac:dyDescent="0.2">
      <c r="A103" s="446" t="s">
        <v>162</v>
      </c>
      <c r="B103" s="322"/>
      <c r="C103" s="322"/>
      <c r="D103" s="323"/>
      <c r="E103" s="323"/>
      <c r="F103" s="323"/>
      <c r="G103" s="318"/>
      <c r="H103" s="332"/>
      <c r="I103" s="324" t="s">
        <v>128</v>
      </c>
      <c r="J103" s="430">
        <f>J104/2080*12</f>
        <v>0</v>
      </c>
      <c r="K103" s="430">
        <f>K104/2080*12</f>
        <v>0</v>
      </c>
      <c r="L103" s="430">
        <f>L104/2080*12</f>
        <v>0</v>
      </c>
      <c r="M103" s="430">
        <f>M104/2080*12</f>
        <v>0</v>
      </c>
      <c r="N103" s="430">
        <f>N104/2080*12</f>
        <v>0</v>
      </c>
      <c r="O103" s="366">
        <f>IF($U$4&lt;&gt;0,IF(T105&lt;$U$4,$U$4,T105),T105)</f>
        <v>15</v>
      </c>
      <c r="P103" s="292"/>
      <c r="Q103" s="292"/>
      <c r="T103" s="328"/>
      <c r="U103" s="116"/>
      <c r="V103" s="359"/>
      <c r="W103" s="116"/>
    </row>
    <row r="104" spans="1:23" outlineLevel="1" x14ac:dyDescent="0.2">
      <c r="A104" s="331" t="str">
        <f>J104&amp;" hours @ $"&amp;O103&amp;"/hour"</f>
        <v>0 hours @ $15/hour</v>
      </c>
      <c r="B104" s="322">
        <f>J104*O103</f>
        <v>0</v>
      </c>
      <c r="C104" s="322">
        <f>IF($J$6&gt;1,K104*$O103*(1+$O$6),0)</f>
        <v>0</v>
      </c>
      <c r="D104" s="322">
        <f>IF($J$6&gt;2,L104*$O103*(1+$O$6)^2,0)</f>
        <v>0</v>
      </c>
      <c r="E104" s="322">
        <f>IF($J$6&gt;3,M104*$O103*(1+$O$6)^3,0)</f>
        <v>0</v>
      </c>
      <c r="F104" s="322">
        <f>IF($J$6&gt;4,N104*$O103*(1+$O$6)^4,0)</f>
        <v>0</v>
      </c>
      <c r="G104" s="318">
        <f>SUM(B104:F104)</f>
        <v>0</v>
      </c>
      <c r="H104" s="332"/>
      <c r="I104" s="324" t="s">
        <v>198</v>
      </c>
      <c r="J104" s="367">
        <v>0</v>
      </c>
      <c r="K104" s="367">
        <f>IF($J$6&gt;1,J104,0)</f>
        <v>0</v>
      </c>
      <c r="L104" s="367">
        <f>IF($J$6&gt;2,K104,0)</f>
        <v>0</v>
      </c>
      <c r="M104" s="367">
        <f>IF($J$6&gt;3,L104,0)</f>
        <v>0</v>
      </c>
      <c r="N104" s="367">
        <f>IF($J$6&gt;4,M104,0)</f>
        <v>0</v>
      </c>
      <c r="O104" s="352"/>
      <c r="P104" s="292"/>
      <c r="Q104" s="292"/>
      <c r="U104" s="116"/>
      <c r="V104" s="116"/>
      <c r="W104" s="116"/>
    </row>
    <row r="105" spans="1:23" outlineLevel="1" x14ac:dyDescent="0.2">
      <c r="A105" s="331"/>
      <c r="B105" s="322"/>
      <c r="C105" s="322"/>
      <c r="D105" s="322"/>
      <c r="E105" s="322"/>
      <c r="F105" s="322"/>
      <c r="G105" s="318"/>
      <c r="H105" s="332"/>
      <c r="I105" s="343" t="s">
        <v>109</v>
      </c>
      <c r="J105" s="361">
        <f>B104*$V105</f>
        <v>0</v>
      </c>
      <c r="K105" s="361">
        <f>C104*$V105</f>
        <v>0</v>
      </c>
      <c r="L105" s="361">
        <f>D104*$V105</f>
        <v>0</v>
      </c>
      <c r="M105" s="361">
        <f>E104*$V105</f>
        <v>0</v>
      </c>
      <c r="N105" s="361">
        <f>F104*$V105</f>
        <v>0</v>
      </c>
      <c r="O105" s="345"/>
      <c r="P105" s="368"/>
      <c r="Q105" s="368"/>
      <c r="R105" s="363"/>
      <c r="S105" s="363"/>
      <c r="T105" s="369"/>
      <c r="U105" s="363"/>
      <c r="V105" s="448">
        <f>$J$120</f>
        <v>0.02</v>
      </c>
      <c r="W105" s="363"/>
    </row>
    <row r="106" spans="1:23" outlineLevel="1" x14ac:dyDescent="0.2">
      <c r="A106" s="331"/>
      <c r="B106" s="322"/>
      <c r="C106" s="322"/>
      <c r="D106" s="322"/>
      <c r="E106" s="322"/>
      <c r="F106" s="322"/>
      <c r="G106" s="318"/>
      <c r="H106" s="332"/>
      <c r="I106" s="365"/>
      <c r="J106" s="291" t="s">
        <v>6</v>
      </c>
      <c r="K106" s="291" t="s">
        <v>5</v>
      </c>
      <c r="L106" s="291" t="s">
        <v>7</v>
      </c>
      <c r="M106" s="291" t="s">
        <v>8</v>
      </c>
      <c r="N106" s="291" t="s">
        <v>9</v>
      </c>
      <c r="O106" s="296" t="s">
        <v>50</v>
      </c>
      <c r="P106" s="292"/>
      <c r="Q106" s="292"/>
      <c r="T106" s="291" t="s">
        <v>50</v>
      </c>
      <c r="U106" s="116"/>
      <c r="V106" s="364"/>
      <c r="W106" s="116"/>
    </row>
    <row r="107" spans="1:23" outlineLevel="1" x14ac:dyDescent="0.2">
      <c r="A107" s="446" t="s">
        <v>162</v>
      </c>
      <c r="B107" s="322"/>
      <c r="C107" s="322"/>
      <c r="D107" s="323"/>
      <c r="E107" s="323"/>
      <c r="F107" s="323"/>
      <c r="G107" s="318"/>
      <c r="H107" s="332"/>
      <c r="I107" s="324" t="s">
        <v>128</v>
      </c>
      <c r="J107" s="430">
        <f>J108/2080*12</f>
        <v>0</v>
      </c>
      <c r="K107" s="430">
        <f>K108/2080*12</f>
        <v>0</v>
      </c>
      <c r="L107" s="430">
        <f>L108/2080*12</f>
        <v>0</v>
      </c>
      <c r="M107" s="430">
        <f>M108/2080*12</f>
        <v>0</v>
      </c>
      <c r="N107" s="430">
        <f>N108/2080*12</f>
        <v>0</v>
      </c>
      <c r="O107" s="366">
        <f>IF($U$4&lt;&gt;0,IF(T109&lt;$U$4,$U$4,T109),T109)</f>
        <v>15</v>
      </c>
      <c r="P107" s="292"/>
      <c r="Q107" s="292"/>
      <c r="T107" s="328"/>
      <c r="U107" s="116"/>
      <c r="V107" s="364"/>
      <c r="W107" s="116"/>
    </row>
    <row r="108" spans="1:23" outlineLevel="1" x14ac:dyDescent="0.2">
      <c r="A108" s="331" t="str">
        <f>J108&amp;" hours @ $"&amp;O107&amp;"/hour"</f>
        <v>0 hours @ $15/hour</v>
      </c>
      <c r="B108" s="322">
        <f>J108*O107</f>
        <v>0</v>
      </c>
      <c r="C108" s="322">
        <f>IF($J$6&gt;1,K108*$O107*(1+$O$6),0)</f>
        <v>0</v>
      </c>
      <c r="D108" s="322">
        <f>IF($J$6&gt;2,L108*$O107*(1+$O$6)^2,0)</f>
        <v>0</v>
      </c>
      <c r="E108" s="322">
        <f>IF($J$6&gt;3,M108*$O107*(1+$O$6)^3,0)</f>
        <v>0</v>
      </c>
      <c r="F108" s="322">
        <f>IF($J$6&gt;4,N108*$O107*(1+$O$6)^4,0)</f>
        <v>0</v>
      </c>
      <c r="G108" s="318">
        <f>SUM(B108:F108)</f>
        <v>0</v>
      </c>
      <c r="H108" s="332"/>
      <c r="I108" s="324" t="s">
        <v>198</v>
      </c>
      <c r="J108" s="367">
        <v>0</v>
      </c>
      <c r="K108" s="367">
        <f>IF($J$6&gt;1,J108,0)</f>
        <v>0</v>
      </c>
      <c r="L108" s="367">
        <f>IF($J$6&gt;2,K108,0)</f>
        <v>0</v>
      </c>
      <c r="M108" s="367">
        <f>IF($J$6&gt;3,L108,0)</f>
        <v>0</v>
      </c>
      <c r="N108" s="367">
        <f>IF($J$6&gt;4,M108,0)</f>
        <v>0</v>
      </c>
      <c r="O108" s="352"/>
      <c r="P108" s="292"/>
      <c r="Q108" s="292"/>
      <c r="U108" s="116"/>
      <c r="V108" s="116"/>
      <c r="W108" s="116"/>
    </row>
    <row r="109" spans="1:23" outlineLevel="1" x14ac:dyDescent="0.2">
      <c r="A109" s="331"/>
      <c r="B109" s="322"/>
      <c r="C109" s="322"/>
      <c r="D109" s="322"/>
      <c r="E109" s="322"/>
      <c r="F109" s="322"/>
      <c r="G109" s="318"/>
      <c r="H109" s="332"/>
      <c r="I109" s="343" t="s">
        <v>109</v>
      </c>
      <c r="J109" s="361">
        <f>B108*$V109</f>
        <v>0</v>
      </c>
      <c r="K109" s="361">
        <f>C108*$V109</f>
        <v>0</v>
      </c>
      <c r="L109" s="361">
        <f>D108*$V109</f>
        <v>0</v>
      </c>
      <c r="M109" s="361">
        <f>E108*$V109</f>
        <v>0</v>
      </c>
      <c r="N109" s="361">
        <f>F108*$V109</f>
        <v>0</v>
      </c>
      <c r="O109" s="345"/>
      <c r="P109" s="368"/>
      <c r="Q109" s="368"/>
      <c r="R109" s="363"/>
      <c r="S109" s="363"/>
      <c r="T109" s="369"/>
      <c r="U109" s="363"/>
      <c r="V109" s="448">
        <f>$J$120</f>
        <v>0.02</v>
      </c>
      <c r="W109" s="363"/>
    </row>
    <row r="110" spans="1:23" outlineLevel="1" x14ac:dyDescent="0.2">
      <c r="A110" s="331"/>
      <c r="B110" s="322"/>
      <c r="C110" s="322"/>
      <c r="D110" s="322"/>
      <c r="E110" s="322"/>
      <c r="F110" s="322"/>
      <c r="G110" s="318"/>
      <c r="H110" s="332"/>
      <c r="I110" s="365"/>
      <c r="J110" s="291" t="s">
        <v>6</v>
      </c>
      <c r="K110" s="291" t="s">
        <v>5</v>
      </c>
      <c r="L110" s="291" t="s">
        <v>7</v>
      </c>
      <c r="M110" s="291" t="s">
        <v>8</v>
      </c>
      <c r="N110" s="291" t="s">
        <v>9</v>
      </c>
      <c r="O110" s="296" t="s">
        <v>50</v>
      </c>
      <c r="P110" s="292"/>
      <c r="Q110" s="292"/>
      <c r="T110" s="291" t="s">
        <v>50</v>
      </c>
      <c r="U110" s="116"/>
      <c r="V110" s="364"/>
      <c r="W110" s="116"/>
    </row>
    <row r="111" spans="1:23" outlineLevel="1" x14ac:dyDescent="0.2">
      <c r="A111" s="446" t="s">
        <v>162</v>
      </c>
      <c r="B111" s="322"/>
      <c r="C111" s="322"/>
      <c r="D111" s="323"/>
      <c r="E111" s="323"/>
      <c r="F111" s="323"/>
      <c r="G111" s="318"/>
      <c r="H111" s="332"/>
      <c r="I111" s="324" t="s">
        <v>128</v>
      </c>
      <c r="J111" s="430">
        <f>J112/2080*12</f>
        <v>0</v>
      </c>
      <c r="K111" s="430">
        <f>K112/2080*12</f>
        <v>0</v>
      </c>
      <c r="L111" s="430">
        <f>L112/2080*12</f>
        <v>0</v>
      </c>
      <c r="M111" s="430">
        <f>M112/2080*12</f>
        <v>0</v>
      </c>
      <c r="N111" s="430">
        <f>N112/2080*12</f>
        <v>0</v>
      </c>
      <c r="O111" s="366">
        <f>IF($U$4&lt;&gt;0,IF(T113&lt;$U$4,$U$4,T113),T113)</f>
        <v>15</v>
      </c>
      <c r="P111" s="292"/>
      <c r="Q111" s="292"/>
      <c r="T111" s="328"/>
      <c r="U111" s="116"/>
      <c r="V111" s="364"/>
      <c r="W111" s="116"/>
    </row>
    <row r="112" spans="1:23" outlineLevel="1" x14ac:dyDescent="0.2">
      <c r="A112" s="331" t="str">
        <f>J112&amp;" hours @ $"&amp;O111&amp;"/hour"</f>
        <v xml:space="preserve"> hours @ $15/hour</v>
      </c>
      <c r="B112" s="322">
        <f>J112*O111</f>
        <v>0</v>
      </c>
      <c r="C112" s="322">
        <f>IF($J$6&gt;1,K112*$O111*(1+$O$6),0)</f>
        <v>0</v>
      </c>
      <c r="D112" s="322">
        <f>IF($J$6&gt;2,L112*$O111*(1+$O$6)^2,0)</f>
        <v>0</v>
      </c>
      <c r="E112" s="322">
        <f>IF($J$6&gt;3,M112*$O111*(1+$O$6)^3,0)</f>
        <v>0</v>
      </c>
      <c r="F112" s="322">
        <f>IF($J$6&gt;4,N112*$O111*(1+$O$6)^4,0)</f>
        <v>0</v>
      </c>
      <c r="G112" s="318">
        <f>SUM(B112:F112)</f>
        <v>0</v>
      </c>
      <c r="H112" s="332"/>
      <c r="I112" s="324" t="s">
        <v>198</v>
      </c>
      <c r="J112" s="367"/>
      <c r="K112" s="367">
        <f>IF($J$6&gt;1,J112,0)</f>
        <v>0</v>
      </c>
      <c r="L112" s="367">
        <f>IF($J$6&gt;2,K112,0)</f>
        <v>0</v>
      </c>
      <c r="M112" s="367">
        <f>IF($J$6&gt;3,L112,0)</f>
        <v>0</v>
      </c>
      <c r="N112" s="367">
        <f>IF($J$6&gt;4,M112,0)</f>
        <v>0</v>
      </c>
      <c r="O112" s="352"/>
      <c r="P112" s="292"/>
      <c r="Q112" s="292"/>
      <c r="U112" s="116"/>
      <c r="V112" s="116"/>
      <c r="W112" s="116"/>
    </row>
    <row r="113" spans="1:23" outlineLevel="1" x14ac:dyDescent="0.2">
      <c r="A113" s="331"/>
      <c r="B113" s="322"/>
      <c r="C113" s="322"/>
      <c r="D113" s="322"/>
      <c r="E113" s="322"/>
      <c r="F113" s="322"/>
      <c r="G113" s="318"/>
      <c r="H113" s="332"/>
      <c r="I113" s="343" t="s">
        <v>109</v>
      </c>
      <c r="J113" s="361">
        <f>B112*$V113</f>
        <v>0</v>
      </c>
      <c r="K113" s="361">
        <f>C112*$V113</f>
        <v>0</v>
      </c>
      <c r="L113" s="361">
        <f>D112*$V113</f>
        <v>0</v>
      </c>
      <c r="M113" s="361">
        <f>E112*$V113</f>
        <v>0</v>
      </c>
      <c r="N113" s="361">
        <f>F112*$V113</f>
        <v>0</v>
      </c>
      <c r="O113" s="345"/>
      <c r="P113" s="368"/>
      <c r="Q113" s="368"/>
      <c r="R113" s="363"/>
      <c r="S113" s="363"/>
      <c r="T113" s="369"/>
      <c r="U113" s="363"/>
      <c r="V113" s="448">
        <f>$J$120</f>
        <v>0.02</v>
      </c>
      <c r="W113" s="363"/>
    </row>
    <row r="114" spans="1:23" x14ac:dyDescent="0.2">
      <c r="A114" s="113" t="s">
        <v>0</v>
      </c>
      <c r="B114" s="370">
        <f>ROUND(SUM(B9:B112),0)</f>
        <v>0</v>
      </c>
      <c r="C114" s="370">
        <f>ROUND(SUM(C9:C112),0)</f>
        <v>0</v>
      </c>
      <c r="D114" s="370">
        <f>ROUND(SUM(D9:D112),0)</f>
        <v>0</v>
      </c>
      <c r="E114" s="370">
        <f>ROUND(SUM(E9:E112),0)</f>
        <v>0</v>
      </c>
      <c r="F114" s="370">
        <f>ROUND(SUM(F9:F112),0)</f>
        <v>0</v>
      </c>
      <c r="G114" s="370">
        <f>SUM(B114:F114)</f>
        <v>0</v>
      </c>
      <c r="H114" s="371"/>
      <c r="P114" s="292"/>
      <c r="Q114" s="292"/>
      <c r="T114" s="328"/>
      <c r="U114" s="116"/>
      <c r="V114" s="116"/>
      <c r="W114" s="116"/>
    </row>
    <row r="115" spans="1:23" x14ac:dyDescent="0.2">
      <c r="B115" s="372"/>
      <c r="C115" s="372"/>
      <c r="D115" s="323"/>
      <c r="E115" s="323"/>
      <c r="F115" s="323"/>
      <c r="G115" s="318"/>
      <c r="P115" s="292"/>
      <c r="Q115" s="292"/>
      <c r="U115" s="116"/>
      <c r="V115" s="116"/>
      <c r="W115" s="116"/>
    </row>
    <row r="116" spans="1:23" x14ac:dyDescent="0.2">
      <c r="A116" s="115" t="s">
        <v>4</v>
      </c>
      <c r="B116" s="372"/>
      <c r="C116" s="372"/>
      <c r="D116" s="323"/>
      <c r="E116" s="323"/>
      <c r="F116" s="323"/>
      <c r="G116" s="318"/>
      <c r="P116" s="292"/>
      <c r="Q116" s="292"/>
      <c r="U116" s="116"/>
      <c r="V116" s="116"/>
      <c r="W116" s="116"/>
    </row>
    <row r="117" spans="1:23" outlineLevel="1" x14ac:dyDescent="0.2">
      <c r="A117" s="373" t="str">
        <f>I117&amp;ROUND(J117*100,2)&amp;"%"</f>
        <v>UA Employees @ 32%</v>
      </c>
      <c r="B117" s="103">
        <f>SUM(B9:B66)*$J117</f>
        <v>0</v>
      </c>
      <c r="C117" s="103">
        <f>SUM(C9:C66)*$J117</f>
        <v>0</v>
      </c>
      <c r="D117" s="103">
        <f>SUM(D9:D66)*$J117</f>
        <v>0</v>
      </c>
      <c r="E117" s="103">
        <f>SUM(E9:E66)*$J117</f>
        <v>0</v>
      </c>
      <c r="F117" s="103">
        <f>SUM(F9:F66)*$J117</f>
        <v>0</v>
      </c>
      <c r="G117" s="374">
        <f>SUM(B117:F117)</f>
        <v>0</v>
      </c>
      <c r="H117" s="375"/>
      <c r="I117" s="376" t="s">
        <v>141</v>
      </c>
      <c r="J117" s="377">
        <v>0.32</v>
      </c>
      <c r="P117" s="292"/>
      <c r="Q117" s="292"/>
      <c r="U117" s="116"/>
      <c r="V117" s="116"/>
      <c r="W117" s="116"/>
    </row>
    <row r="118" spans="1:23" outlineLevel="1" x14ac:dyDescent="0.2">
      <c r="A118" s="373" t="str">
        <f>I118&amp;ROUND(J118*100,2)&amp;"%"</f>
        <v>Ancillary Employees @ 17.1%</v>
      </c>
      <c r="B118" s="103">
        <f>SUM(B70:B83)*$J118</f>
        <v>0</v>
      </c>
      <c r="C118" s="103">
        <f>SUM(C70:C83)*$J118</f>
        <v>0</v>
      </c>
      <c r="D118" s="103">
        <f>SUM(D70:D83)*$J118</f>
        <v>0</v>
      </c>
      <c r="E118" s="103">
        <f>SUM(E70:E83)*$J118</f>
        <v>0</v>
      </c>
      <c r="F118" s="103">
        <f>SUM(F70:F83)*$J118</f>
        <v>0</v>
      </c>
      <c r="G118" s="374">
        <f>SUM(B118:F118)</f>
        <v>0</v>
      </c>
      <c r="H118" s="375"/>
      <c r="I118" s="376" t="s">
        <v>185</v>
      </c>
      <c r="J118" s="377">
        <v>0.17100000000000001</v>
      </c>
      <c r="P118" s="292"/>
      <c r="Q118" s="292"/>
      <c r="U118" s="116"/>
      <c r="V118" s="116"/>
      <c r="W118" s="116"/>
    </row>
    <row r="119" spans="1:23" outlineLevel="1" x14ac:dyDescent="0.2">
      <c r="A119" s="373" t="str">
        <f>I119&amp;ROUND(J119*100,2)&amp;"%"</f>
        <v>Graduate Assistants @ 13%</v>
      </c>
      <c r="B119" s="103">
        <f>SUM(B86:B100)*$J119</f>
        <v>0</v>
      </c>
      <c r="C119" s="103">
        <f>SUM(C86:C100)*$J119</f>
        <v>0</v>
      </c>
      <c r="D119" s="103">
        <f>SUM(D86:D100)*$J119</f>
        <v>0</v>
      </c>
      <c r="E119" s="103">
        <f>SUM(E86:E100)*$J119</f>
        <v>0</v>
      </c>
      <c r="F119" s="103">
        <f>SUM(F86:F100)*$J119</f>
        <v>0</v>
      </c>
      <c r="G119" s="374">
        <f>SUM(B119:F119)</f>
        <v>0</v>
      </c>
      <c r="H119" s="375"/>
      <c r="I119" s="376" t="s">
        <v>144</v>
      </c>
      <c r="J119" s="377">
        <v>0.13</v>
      </c>
      <c r="P119" s="292"/>
      <c r="Q119" s="292"/>
      <c r="U119" s="116"/>
      <c r="V119" s="116"/>
      <c r="W119" s="116"/>
    </row>
    <row r="120" spans="1:23" outlineLevel="1" x14ac:dyDescent="0.2">
      <c r="A120" s="373" t="str">
        <f>I120&amp;ROUND(J120*100,2)&amp;"%"</f>
        <v>Student Employees @ 2%</v>
      </c>
      <c r="B120" s="103">
        <f>SUM(B104:B112)*$J120</f>
        <v>0</v>
      </c>
      <c r="C120" s="103">
        <f>SUM(C104:C112)*$J120</f>
        <v>0</v>
      </c>
      <c r="D120" s="103">
        <f>SUM(D104:D112)*$J120</f>
        <v>0</v>
      </c>
      <c r="E120" s="103">
        <f>SUM(E104:E112)*$J120</f>
        <v>0</v>
      </c>
      <c r="F120" s="103">
        <f>SUM(F104:F112)*$J120</f>
        <v>0</v>
      </c>
      <c r="G120" s="374">
        <f>SUM(B120:F120)</f>
        <v>0</v>
      </c>
      <c r="H120" s="375"/>
      <c r="I120" s="376" t="s">
        <v>145</v>
      </c>
      <c r="J120" s="377">
        <v>0.02</v>
      </c>
      <c r="P120" s="292"/>
      <c r="Q120" s="292"/>
      <c r="U120" s="116"/>
      <c r="V120" s="116"/>
      <c r="W120" s="116"/>
    </row>
    <row r="121" spans="1:23" x14ac:dyDescent="0.2">
      <c r="A121" s="113" t="s">
        <v>1</v>
      </c>
      <c r="B121" s="378">
        <f>ROUND(SUM(B117:B120),0)</f>
        <v>0</v>
      </c>
      <c r="C121" s="378">
        <f>ROUND(SUM(C117:C120),0)</f>
        <v>0</v>
      </c>
      <c r="D121" s="378">
        <f>ROUND(SUM(D117:D120),0)</f>
        <v>0</v>
      </c>
      <c r="E121" s="378">
        <f>ROUND(SUM(E117:E120),0)</f>
        <v>0</v>
      </c>
      <c r="F121" s="378">
        <f>ROUND(SUM(F117:F120),0)</f>
        <v>0</v>
      </c>
      <c r="G121" s="379">
        <f>SUM(B121:F121)</f>
        <v>0</v>
      </c>
      <c r="H121" s="375"/>
      <c r="P121" s="292"/>
      <c r="Q121" s="292"/>
      <c r="U121" s="116"/>
      <c r="V121" s="116"/>
      <c r="W121" s="116"/>
    </row>
    <row r="122" spans="1:23" x14ac:dyDescent="0.2">
      <c r="B122" s="323"/>
      <c r="C122" s="323"/>
      <c r="D122" s="323"/>
      <c r="E122" s="323"/>
      <c r="F122" s="323"/>
      <c r="G122" s="318"/>
      <c r="P122" s="292"/>
      <c r="Q122" s="292"/>
      <c r="U122" s="116"/>
      <c r="V122" s="116"/>
      <c r="W122" s="116"/>
    </row>
    <row r="123" spans="1:23" x14ac:dyDescent="0.2">
      <c r="A123" s="114" t="s">
        <v>95</v>
      </c>
      <c r="B123" s="380">
        <f>B114+B121</f>
        <v>0</v>
      </c>
      <c r="C123" s="380">
        <f>C114+C121</f>
        <v>0</v>
      </c>
      <c r="D123" s="380">
        <f>D114+D121</f>
        <v>0</v>
      </c>
      <c r="E123" s="380">
        <f>E114+E121</f>
        <v>0</v>
      </c>
      <c r="F123" s="380">
        <f>F114+F121</f>
        <v>0</v>
      </c>
      <c r="G123" s="381">
        <f>SUM(B123:F123)</f>
        <v>0</v>
      </c>
      <c r="H123" s="375"/>
      <c r="P123" s="292"/>
      <c r="Q123" s="292"/>
      <c r="U123" s="116"/>
      <c r="V123" s="116"/>
      <c r="W123" s="116"/>
    </row>
    <row r="124" spans="1:23" x14ac:dyDescent="0.2">
      <c r="A124" s="115"/>
      <c r="B124" s="382"/>
      <c r="C124" s="382"/>
      <c r="D124" s="382"/>
      <c r="E124" s="382"/>
      <c r="F124" s="382"/>
      <c r="G124" s="383"/>
      <c r="H124" s="384"/>
      <c r="P124" s="292"/>
      <c r="Q124" s="292"/>
      <c r="U124" s="116"/>
      <c r="V124" s="116"/>
      <c r="W124" s="116"/>
    </row>
    <row r="125" spans="1:23" x14ac:dyDescent="0.2">
      <c r="A125" s="112" t="s">
        <v>39</v>
      </c>
      <c r="B125" s="323"/>
      <c r="C125" s="323"/>
      <c r="D125" s="323"/>
      <c r="E125" s="323"/>
      <c r="F125" s="323"/>
      <c r="G125" s="318"/>
      <c r="P125" s="292"/>
      <c r="Q125" s="292"/>
      <c r="U125" s="116"/>
      <c r="V125" s="116"/>
      <c r="W125" s="116"/>
    </row>
    <row r="126" spans="1:23" outlineLevel="1" x14ac:dyDescent="0.2">
      <c r="A126" s="385" t="s">
        <v>41</v>
      </c>
      <c r="B126" s="386">
        <v>0</v>
      </c>
      <c r="C126" s="386">
        <v>0</v>
      </c>
      <c r="D126" s="386">
        <v>0</v>
      </c>
      <c r="E126" s="386">
        <v>0</v>
      </c>
      <c r="F126" s="386">
        <v>0</v>
      </c>
      <c r="G126" s="318">
        <f>SUM(B126:F126)</f>
        <v>0</v>
      </c>
      <c r="H126" s="332"/>
      <c r="P126" s="292"/>
      <c r="Q126" s="292"/>
      <c r="U126" s="116"/>
      <c r="V126" s="116"/>
      <c r="W126" s="116"/>
    </row>
    <row r="127" spans="1:23" outlineLevel="1" x14ac:dyDescent="0.2">
      <c r="A127" s="385" t="s">
        <v>42</v>
      </c>
      <c r="B127" s="386">
        <v>0</v>
      </c>
      <c r="C127" s="386">
        <v>0</v>
      </c>
      <c r="D127" s="386">
        <v>0</v>
      </c>
      <c r="E127" s="386">
        <v>0</v>
      </c>
      <c r="F127" s="386">
        <v>0</v>
      </c>
      <c r="G127" s="318">
        <f>SUM(B127:F127)</f>
        <v>0</v>
      </c>
      <c r="H127" s="332"/>
      <c r="P127" s="292"/>
      <c r="Q127" s="292"/>
      <c r="U127" s="116"/>
      <c r="V127" s="116"/>
      <c r="W127" s="116"/>
    </row>
    <row r="128" spans="1:23" outlineLevel="1" x14ac:dyDescent="0.2">
      <c r="A128" s="385" t="s">
        <v>43</v>
      </c>
      <c r="B128" s="386">
        <v>0</v>
      </c>
      <c r="C128" s="386">
        <v>0</v>
      </c>
      <c r="D128" s="386">
        <v>0</v>
      </c>
      <c r="E128" s="386">
        <v>0</v>
      </c>
      <c r="F128" s="386">
        <v>0</v>
      </c>
      <c r="G128" s="318">
        <f>SUM(B128:F128)</f>
        <v>0</v>
      </c>
      <c r="H128" s="332"/>
      <c r="P128" s="292"/>
      <c r="Q128" s="292"/>
      <c r="U128" s="116"/>
      <c r="V128" s="116"/>
      <c r="W128" s="116"/>
    </row>
    <row r="129" spans="1:23" x14ac:dyDescent="0.2">
      <c r="A129" s="113" t="s">
        <v>40</v>
      </c>
      <c r="B129" s="370">
        <f>ROUND(SUM(B126:B128),0)</f>
        <v>0</v>
      </c>
      <c r="C129" s="370">
        <f>ROUND(SUM(C126:C128),0)</f>
        <v>0</v>
      </c>
      <c r="D129" s="370">
        <f>ROUND(SUM(D126:D128),0)</f>
        <v>0</v>
      </c>
      <c r="E129" s="370">
        <f>ROUND(SUM(E126:E128),0)</f>
        <v>0</v>
      </c>
      <c r="F129" s="370">
        <f>ROUND(SUM(F126:F128),0)</f>
        <v>0</v>
      </c>
      <c r="G129" s="370">
        <f>SUM(B129:F129)</f>
        <v>0</v>
      </c>
      <c r="H129" s="371"/>
      <c r="P129" s="292"/>
      <c r="Q129" s="292"/>
      <c r="U129" s="116"/>
      <c r="V129" s="116"/>
      <c r="W129" s="116"/>
    </row>
    <row r="130" spans="1:23" x14ac:dyDescent="0.2">
      <c r="B130" s="372"/>
      <c r="C130" s="372"/>
      <c r="D130" s="323"/>
      <c r="E130" s="323"/>
      <c r="F130" s="323"/>
      <c r="G130" s="318"/>
      <c r="P130" s="292"/>
      <c r="Q130" s="292"/>
      <c r="U130" s="116"/>
      <c r="V130" s="116"/>
      <c r="W130" s="116"/>
    </row>
    <row r="131" spans="1:23" x14ac:dyDescent="0.2">
      <c r="A131" s="115" t="s">
        <v>11</v>
      </c>
      <c r="B131" s="383"/>
      <c r="C131" s="383"/>
      <c r="D131" s="383"/>
      <c r="E131" s="383"/>
      <c r="F131" s="383"/>
      <c r="G131" s="383"/>
      <c r="H131" s="384"/>
      <c r="P131" s="292"/>
      <c r="Q131" s="292"/>
      <c r="U131" s="116"/>
      <c r="V131" s="116"/>
      <c r="W131" s="116"/>
    </row>
    <row r="132" spans="1:23" outlineLevel="1" x14ac:dyDescent="0.2">
      <c r="A132" s="331" t="s">
        <v>153</v>
      </c>
      <c r="B132" s="387">
        <f>Travel!L10</f>
        <v>0</v>
      </c>
      <c r="C132" s="387">
        <f>Travel!L20</f>
        <v>0</v>
      </c>
      <c r="D132" s="387">
        <f>Travel!L30</f>
        <v>0</v>
      </c>
      <c r="E132" s="387">
        <f>Travel!L40</f>
        <v>0</v>
      </c>
      <c r="F132" s="387">
        <f>Travel!L50</f>
        <v>0</v>
      </c>
      <c r="G132" s="383">
        <f>SUM(B132:F132)</f>
        <v>0</v>
      </c>
      <c r="H132" s="384"/>
      <c r="P132" s="292"/>
      <c r="Q132" s="292"/>
      <c r="U132" s="116"/>
      <c r="V132" s="116"/>
      <c r="W132" s="116"/>
    </row>
    <row r="133" spans="1:23" outlineLevel="1" x14ac:dyDescent="0.2">
      <c r="A133" s="331" t="s">
        <v>154</v>
      </c>
      <c r="B133" s="387">
        <f>Travel!Y10</f>
        <v>0</v>
      </c>
      <c r="C133" s="387">
        <f>Travel!Y20</f>
        <v>0</v>
      </c>
      <c r="D133" s="387">
        <f>Travel!Y30</f>
        <v>0</v>
      </c>
      <c r="E133" s="387">
        <f>Travel!Y40</f>
        <v>0</v>
      </c>
      <c r="F133" s="387">
        <f>Travel!Y50</f>
        <v>0</v>
      </c>
      <c r="G133" s="383">
        <f>SUM(B133:F133)</f>
        <v>0</v>
      </c>
      <c r="H133" s="384"/>
      <c r="P133" s="292"/>
      <c r="Q133" s="292"/>
      <c r="U133" s="116"/>
      <c r="V133" s="116"/>
      <c r="W133" s="116"/>
    </row>
    <row r="134" spans="1:23" x14ac:dyDescent="0.2">
      <c r="A134" s="113" t="s">
        <v>12</v>
      </c>
      <c r="B134" s="388">
        <f>ROUND(SUM(B132:B133),0)</f>
        <v>0</v>
      </c>
      <c r="C134" s="388">
        <f>ROUND(SUM(C132:C133),0)</f>
        <v>0</v>
      </c>
      <c r="D134" s="388">
        <f>ROUND(SUM(D132:D133),0)</f>
        <v>0</v>
      </c>
      <c r="E134" s="388">
        <f>ROUND(SUM(E132:E133),0)</f>
        <v>0</v>
      </c>
      <c r="F134" s="388">
        <f>ROUND(SUM(F132:F133),0)</f>
        <v>0</v>
      </c>
      <c r="G134" s="370">
        <f>SUM(B134:F134)</f>
        <v>0</v>
      </c>
      <c r="H134" s="371"/>
      <c r="P134" s="292"/>
      <c r="Q134" s="292"/>
      <c r="U134" s="116"/>
      <c r="V134" s="116"/>
      <c r="W134" s="116"/>
    </row>
    <row r="135" spans="1:23" x14ac:dyDescent="0.2">
      <c r="B135" s="323"/>
      <c r="C135" s="323"/>
      <c r="D135" s="323"/>
      <c r="E135" s="323"/>
      <c r="F135" s="323"/>
      <c r="G135" s="318"/>
      <c r="P135" s="292"/>
      <c r="Q135" s="292"/>
      <c r="U135" s="116"/>
      <c r="V135" s="116"/>
      <c r="W135" s="116"/>
    </row>
    <row r="136" spans="1:23" x14ac:dyDescent="0.2">
      <c r="A136" s="115" t="s">
        <v>44</v>
      </c>
      <c r="B136" s="323"/>
      <c r="C136" s="323"/>
      <c r="D136" s="323"/>
      <c r="E136" s="323"/>
      <c r="F136" s="323"/>
      <c r="G136" s="318"/>
      <c r="P136" s="292"/>
      <c r="Q136" s="292"/>
      <c r="U136" s="116"/>
      <c r="V136" s="116"/>
      <c r="W136" s="116"/>
    </row>
    <row r="137" spans="1:23" outlineLevel="1" x14ac:dyDescent="0.2">
      <c r="A137" s="373" t="s">
        <v>159</v>
      </c>
      <c r="B137" s="389">
        <f>'Participant Support'!E15</f>
        <v>0</v>
      </c>
      <c r="C137" s="389">
        <f>'Participant Support'!E30</f>
        <v>0</v>
      </c>
      <c r="D137" s="389">
        <f>'Participant Support'!E45</f>
        <v>0</v>
      </c>
      <c r="E137" s="389">
        <f>'Participant Support'!E60</f>
        <v>0</v>
      </c>
      <c r="F137" s="389">
        <f>'Participant Support'!E75</f>
        <v>0</v>
      </c>
      <c r="G137" s="374">
        <f>SUM(B137:F137)</f>
        <v>0</v>
      </c>
      <c r="P137" s="292"/>
      <c r="Q137" s="292"/>
      <c r="U137" s="116"/>
      <c r="V137" s="116"/>
      <c r="W137" s="116"/>
    </row>
    <row r="138" spans="1:23" x14ac:dyDescent="0.2">
      <c r="A138" s="113" t="s">
        <v>155</v>
      </c>
      <c r="B138" s="388">
        <f>ROUND(SUM(B137),0)</f>
        <v>0</v>
      </c>
      <c r="C138" s="388">
        <f>ROUND(SUM(C137),0)</f>
        <v>0</v>
      </c>
      <c r="D138" s="388">
        <f>ROUND(SUM(D137),0)</f>
        <v>0</v>
      </c>
      <c r="E138" s="388">
        <f>ROUND(SUM(E137),0)</f>
        <v>0</v>
      </c>
      <c r="F138" s="388">
        <f>ROUND(SUM(F137),0)</f>
        <v>0</v>
      </c>
      <c r="G138" s="370">
        <f>SUM(B138:F138)</f>
        <v>0</v>
      </c>
      <c r="H138" s="371"/>
      <c r="P138" s="292"/>
      <c r="Q138" s="292"/>
      <c r="U138" s="116"/>
      <c r="V138" s="116"/>
      <c r="W138" s="116"/>
    </row>
    <row r="139" spans="1:23" x14ac:dyDescent="0.2">
      <c r="B139" s="323"/>
      <c r="C139" s="323"/>
      <c r="D139" s="323"/>
      <c r="E139" s="323"/>
      <c r="F139" s="323"/>
      <c r="G139" s="318"/>
      <c r="P139" s="292"/>
      <c r="Q139" s="292"/>
      <c r="U139" s="116"/>
      <c r="V139" s="116"/>
      <c r="W139" s="116"/>
    </row>
    <row r="140" spans="1:23" x14ac:dyDescent="0.2">
      <c r="A140" s="117" t="s">
        <v>33</v>
      </c>
      <c r="B140" s="382"/>
      <c r="C140" s="382"/>
      <c r="D140" s="323"/>
      <c r="E140" s="323"/>
      <c r="F140" s="323"/>
      <c r="G140" s="318"/>
      <c r="P140" s="292"/>
      <c r="Q140" s="292"/>
      <c r="U140" s="116"/>
      <c r="V140" s="116"/>
      <c r="W140" s="116"/>
    </row>
    <row r="141" spans="1:23" outlineLevel="1" x14ac:dyDescent="0.2">
      <c r="A141" s="373" t="s">
        <v>31</v>
      </c>
      <c r="B141" s="389">
        <f>SUM(J84,J90,J96)</f>
        <v>0</v>
      </c>
      <c r="C141" s="389">
        <f>SUM(K84,K90,K96)</f>
        <v>0</v>
      </c>
      <c r="D141" s="389">
        <f>SUM(L84,L90,L96)</f>
        <v>0</v>
      </c>
      <c r="E141" s="389">
        <f>SUM(M84,M90,M96)</f>
        <v>0</v>
      </c>
      <c r="F141" s="389">
        <f>SUM(N84,N90,N96)</f>
        <v>0</v>
      </c>
      <c r="G141" s="374">
        <f>SUM(B141:F141)</f>
        <v>0</v>
      </c>
      <c r="P141" s="292"/>
      <c r="Q141" s="292"/>
      <c r="U141" s="116"/>
      <c r="V141" s="116"/>
      <c r="W141" s="116"/>
    </row>
    <row r="142" spans="1:23" outlineLevel="1" x14ac:dyDescent="0.2">
      <c r="A142" s="373" t="s">
        <v>37</v>
      </c>
      <c r="B142" s="390">
        <f>'Other Costs'!E15</f>
        <v>0</v>
      </c>
      <c r="C142" s="390">
        <f>'Other Costs'!E30</f>
        <v>0</v>
      </c>
      <c r="D142" s="390">
        <f>'Other Costs'!E45</f>
        <v>0</v>
      </c>
      <c r="E142" s="390">
        <f>'Other Costs'!E60</f>
        <v>0</v>
      </c>
      <c r="F142" s="390">
        <f>'Other Costs'!E75</f>
        <v>0</v>
      </c>
      <c r="G142" s="374">
        <f>SUM(B142:F142)</f>
        <v>0</v>
      </c>
      <c r="H142" s="375"/>
      <c r="P142" s="292"/>
      <c r="Q142" s="292"/>
      <c r="U142" s="116"/>
      <c r="V142" s="116"/>
      <c r="W142" s="116"/>
    </row>
    <row r="143" spans="1:23" outlineLevel="1" x14ac:dyDescent="0.2">
      <c r="A143" s="373"/>
      <c r="B143" s="389"/>
      <c r="C143" s="389"/>
      <c r="D143" s="389"/>
      <c r="E143" s="389"/>
      <c r="F143" s="389"/>
      <c r="G143" s="374"/>
      <c r="P143" s="292"/>
      <c r="Q143" s="292"/>
      <c r="U143" s="116"/>
      <c r="V143" s="116"/>
      <c r="W143" s="116"/>
    </row>
    <row r="144" spans="1:23" outlineLevel="1" x14ac:dyDescent="0.2">
      <c r="A144" s="373" t="str">
        <f>"Subaward #1 - Direct Costs ("&amp;'Subaward 1'!A4&amp;")"</f>
        <v>Subaward #1 - Direct Costs (Institution/Lead PI)</v>
      </c>
      <c r="B144" s="323">
        <f>'Subaward 1'!B$118</f>
        <v>0</v>
      </c>
      <c r="C144" s="323">
        <f>'Subaward 1'!C$118</f>
        <v>0</v>
      </c>
      <c r="D144" s="323">
        <f>'Subaward 1'!D$118</f>
        <v>0</v>
      </c>
      <c r="E144" s="323">
        <f>'Subaward 1'!E$118</f>
        <v>0</v>
      </c>
      <c r="F144" s="323">
        <f>'Subaward 1'!F$118</f>
        <v>0</v>
      </c>
      <c r="G144" s="318">
        <f t="shared" ref="G144:G154" si="0">SUM(B144:F144)</f>
        <v>0</v>
      </c>
      <c r="H144" s="332"/>
      <c r="J144" s="294" t="s">
        <v>6</v>
      </c>
      <c r="K144" s="294" t="s">
        <v>5</v>
      </c>
      <c r="L144" s="294" t="s">
        <v>7</v>
      </c>
      <c r="M144" s="294" t="s">
        <v>8</v>
      </c>
      <c r="N144" s="294" t="s">
        <v>9</v>
      </c>
      <c r="O144" s="294" t="s">
        <v>10</v>
      </c>
      <c r="P144" s="292"/>
      <c r="Q144" s="292"/>
      <c r="U144" s="116"/>
      <c r="V144" s="116"/>
      <c r="W144" s="116"/>
    </row>
    <row r="145" spans="1:23" outlineLevel="1" x14ac:dyDescent="0.2">
      <c r="A145" s="373" t="str">
        <f>"Subaward #1 - Indirect Costs ("&amp;'Subaward 1'!A4&amp;")"</f>
        <v>Subaward #1 - Indirect Costs (Institution/Lead PI)</v>
      </c>
      <c r="B145" s="323">
        <f>'Subaward 1'!B$127</f>
        <v>0</v>
      </c>
      <c r="C145" s="323">
        <f>'Subaward 1'!C$127</f>
        <v>0</v>
      </c>
      <c r="D145" s="323">
        <f>'Subaward 1'!D$127</f>
        <v>0</v>
      </c>
      <c r="E145" s="323">
        <f>'Subaward 1'!E$127</f>
        <v>0</v>
      </c>
      <c r="F145" s="323">
        <f>'Subaward 1'!F$127</f>
        <v>0</v>
      </c>
      <c r="G145" s="318">
        <f t="shared" si="0"/>
        <v>0</v>
      </c>
      <c r="H145" s="332"/>
      <c r="I145" s="312" t="s">
        <v>156</v>
      </c>
      <c r="J145" s="323">
        <f>B144+B145</f>
        <v>0</v>
      </c>
      <c r="K145" s="323">
        <f>C144+C145</f>
        <v>0</v>
      </c>
      <c r="L145" s="323">
        <f>D144+D145</f>
        <v>0</v>
      </c>
      <c r="M145" s="323">
        <f>E144+E145</f>
        <v>0</v>
      </c>
      <c r="N145" s="323">
        <f>F144+F145</f>
        <v>0</v>
      </c>
      <c r="O145" s="318">
        <f>SUM(J145:N145)</f>
        <v>0</v>
      </c>
      <c r="P145" s="292"/>
      <c r="Q145" s="292"/>
      <c r="U145" s="116"/>
      <c r="V145" s="116"/>
      <c r="W145" s="116"/>
    </row>
    <row r="146" spans="1:23" outlineLevel="1" x14ac:dyDescent="0.2">
      <c r="A146" s="373" t="str">
        <f>"Subaward #2 - Direct Costs ("&amp;'Subaward 2'!A4&amp;")"</f>
        <v>Subaward #2 - Direct Costs (Institution/Lead PI)</v>
      </c>
      <c r="B146" s="323">
        <f>'Subaward 2'!B$118</f>
        <v>0</v>
      </c>
      <c r="C146" s="323">
        <f>'Subaward 2'!C$118</f>
        <v>0</v>
      </c>
      <c r="D146" s="323">
        <f>'Subaward 2'!D$118</f>
        <v>0</v>
      </c>
      <c r="E146" s="323">
        <f>'Subaward 2'!E$118</f>
        <v>0</v>
      </c>
      <c r="F146" s="323">
        <f>'Subaward 2'!F$118</f>
        <v>0</v>
      </c>
      <c r="G146" s="318">
        <f t="shared" si="0"/>
        <v>0</v>
      </c>
      <c r="H146" s="332"/>
      <c r="I146" s="312"/>
      <c r="O146" s="115"/>
      <c r="P146" s="292"/>
      <c r="Q146" s="292"/>
      <c r="U146" s="116"/>
      <c r="V146" s="116"/>
      <c r="W146" s="116"/>
    </row>
    <row r="147" spans="1:23" outlineLevel="1" x14ac:dyDescent="0.2">
      <c r="A147" s="373" t="str">
        <f>"Subaward #2 - Indirect Costs ("&amp;'Subaward 2'!A4&amp;")"</f>
        <v>Subaward #2 - Indirect Costs (Institution/Lead PI)</v>
      </c>
      <c r="B147" s="323">
        <f>'Subaward 2'!B$127</f>
        <v>0</v>
      </c>
      <c r="C147" s="323">
        <f>'Subaward 2'!C$127</f>
        <v>0</v>
      </c>
      <c r="D147" s="323">
        <f>'Subaward 2'!D$127</f>
        <v>0</v>
      </c>
      <c r="E147" s="323">
        <f>'Subaward 2'!E$127</f>
        <v>0</v>
      </c>
      <c r="F147" s="323">
        <f>'Subaward 2'!F$127</f>
        <v>0</v>
      </c>
      <c r="G147" s="318">
        <f t="shared" si="0"/>
        <v>0</v>
      </c>
      <c r="H147" s="332"/>
      <c r="I147" s="312" t="s">
        <v>157</v>
      </c>
      <c r="J147" s="323">
        <f>B146+B147</f>
        <v>0</v>
      </c>
      <c r="K147" s="323">
        <f>C146+C147</f>
        <v>0</v>
      </c>
      <c r="L147" s="323">
        <f>D146+D147</f>
        <v>0</v>
      </c>
      <c r="M147" s="323">
        <f>E146+E147</f>
        <v>0</v>
      </c>
      <c r="N147" s="323">
        <f>F146+F147</f>
        <v>0</v>
      </c>
      <c r="O147" s="318">
        <f>SUM(J147:N147)</f>
        <v>0</v>
      </c>
      <c r="P147" s="292"/>
      <c r="Q147" s="292"/>
      <c r="U147" s="116"/>
      <c r="V147" s="116"/>
      <c r="W147" s="116"/>
    </row>
    <row r="148" spans="1:23" outlineLevel="1" x14ac:dyDescent="0.2">
      <c r="A148" s="373" t="str">
        <f>"Subaward #3 - Direct Costs ("&amp;'Subaward 3'!A4&amp;")"</f>
        <v>Subaward #3 - Direct Costs (Institution/Lead PI)</v>
      </c>
      <c r="B148" s="323">
        <f>'Subaward 3'!B$118</f>
        <v>0</v>
      </c>
      <c r="C148" s="323">
        <f>'Subaward 3'!C$118</f>
        <v>0</v>
      </c>
      <c r="D148" s="323">
        <f>'Subaward 3'!D$118</f>
        <v>0</v>
      </c>
      <c r="E148" s="323">
        <f>'Subaward 3'!E$118</f>
        <v>0</v>
      </c>
      <c r="F148" s="323">
        <f>'Subaward 3'!F$118</f>
        <v>0</v>
      </c>
      <c r="G148" s="318">
        <f t="shared" si="0"/>
        <v>0</v>
      </c>
      <c r="H148" s="332"/>
      <c r="I148" s="312"/>
      <c r="O148" s="115"/>
      <c r="P148" s="292"/>
      <c r="Q148" s="292"/>
      <c r="U148" s="116"/>
      <c r="V148" s="116"/>
      <c r="W148" s="116"/>
    </row>
    <row r="149" spans="1:23" outlineLevel="1" x14ac:dyDescent="0.2">
      <c r="A149" s="373" t="str">
        <f>"Subaward #3 - Indirect Costs ("&amp;'Subaward 3'!A4&amp;")"</f>
        <v>Subaward #3 - Indirect Costs (Institution/Lead PI)</v>
      </c>
      <c r="B149" s="323">
        <f>'Subaward 3'!B$127</f>
        <v>0</v>
      </c>
      <c r="C149" s="323">
        <f>'Subaward 3'!C$127</f>
        <v>0</v>
      </c>
      <c r="D149" s="323">
        <f>'Subaward 3'!D$127</f>
        <v>0</v>
      </c>
      <c r="E149" s="323">
        <f>'Subaward 3'!E$127</f>
        <v>0</v>
      </c>
      <c r="F149" s="323">
        <f>'Subaward 3'!F$127</f>
        <v>0</v>
      </c>
      <c r="G149" s="318">
        <f t="shared" si="0"/>
        <v>0</v>
      </c>
      <c r="H149" s="332"/>
      <c r="I149" s="312" t="s">
        <v>158</v>
      </c>
      <c r="J149" s="323">
        <f>B148+B149</f>
        <v>0</v>
      </c>
      <c r="K149" s="323">
        <f>C148+C149</f>
        <v>0</v>
      </c>
      <c r="L149" s="323">
        <f>D148+D149</f>
        <v>0</v>
      </c>
      <c r="M149" s="323">
        <f>E148+E149</f>
        <v>0</v>
      </c>
      <c r="N149" s="323">
        <f>F148+F149</f>
        <v>0</v>
      </c>
      <c r="O149" s="318">
        <f>SUM(J149:N149)</f>
        <v>0</v>
      </c>
      <c r="P149" s="292"/>
      <c r="Q149" s="292"/>
      <c r="U149" s="116"/>
      <c r="V149" s="116"/>
      <c r="W149" s="116"/>
    </row>
    <row r="150" spans="1:23" outlineLevel="1" x14ac:dyDescent="0.2">
      <c r="A150" s="373" t="str">
        <f>"Subaward #4 - Direct Costs ("&amp;'Subaward 4'!A4&amp;")"</f>
        <v>Subaward #4 - Direct Costs (Institution/Lead PI)</v>
      </c>
      <c r="B150" s="323">
        <f>'Subaward 4'!B$118</f>
        <v>0</v>
      </c>
      <c r="C150" s="323">
        <f>'Subaward 4'!C$118</f>
        <v>0</v>
      </c>
      <c r="D150" s="323">
        <f>'Subaward 4'!D$118</f>
        <v>0</v>
      </c>
      <c r="E150" s="323">
        <f>'Subaward 4'!E$118</f>
        <v>0</v>
      </c>
      <c r="F150" s="323">
        <f>'Subaward 4'!F$118</f>
        <v>0</v>
      </c>
      <c r="G150" s="318">
        <f t="shared" si="0"/>
        <v>0</v>
      </c>
      <c r="H150" s="332"/>
      <c r="I150" s="312"/>
      <c r="O150" s="115"/>
      <c r="P150" s="292"/>
      <c r="Q150" s="292"/>
      <c r="U150" s="116"/>
      <c r="V150" s="116"/>
      <c r="W150" s="116"/>
    </row>
    <row r="151" spans="1:23" outlineLevel="1" x14ac:dyDescent="0.2">
      <c r="A151" s="373" t="str">
        <f>"Subaward #4 - Indirect Costs ("&amp;'Subaward 4'!A4&amp;")"</f>
        <v>Subaward #4 - Indirect Costs (Institution/Lead PI)</v>
      </c>
      <c r="B151" s="323">
        <f>'Subaward 4'!B$127</f>
        <v>0</v>
      </c>
      <c r="C151" s="323">
        <f>'Subaward 4'!C$127</f>
        <v>0</v>
      </c>
      <c r="D151" s="323">
        <f>'Subaward 4'!D$127</f>
        <v>0</v>
      </c>
      <c r="E151" s="323">
        <f>'Subaward 4'!E$127</f>
        <v>0</v>
      </c>
      <c r="F151" s="323">
        <f>'Subaward 4'!F$127</f>
        <v>0</v>
      </c>
      <c r="G151" s="318">
        <f t="shared" si="0"/>
        <v>0</v>
      </c>
      <c r="H151" s="332"/>
      <c r="I151" s="312" t="s">
        <v>163</v>
      </c>
      <c r="J151" s="323">
        <f>B150+B151</f>
        <v>0</v>
      </c>
      <c r="K151" s="323">
        <f>C150+C151</f>
        <v>0</v>
      </c>
      <c r="L151" s="323">
        <f>D150+D151</f>
        <v>0</v>
      </c>
      <c r="M151" s="323">
        <f>E150+E151</f>
        <v>0</v>
      </c>
      <c r="N151" s="323">
        <f>F150+F151</f>
        <v>0</v>
      </c>
      <c r="O151" s="318">
        <f>SUM(J151:N151)</f>
        <v>0</v>
      </c>
      <c r="P151" s="292"/>
      <c r="Q151" s="292"/>
      <c r="U151" s="116"/>
      <c r="V151" s="116"/>
      <c r="W151" s="116"/>
    </row>
    <row r="152" spans="1:23" outlineLevel="1" x14ac:dyDescent="0.2">
      <c r="A152" s="373" t="str">
        <f>"Subaward #5 - Direct Costs ("&amp;'Subaward 5'!A4&amp;")"</f>
        <v>Subaward #5 - Direct Costs (Institution/Lead PI)</v>
      </c>
      <c r="B152" s="323">
        <f>'Subaward 5'!B$118</f>
        <v>0</v>
      </c>
      <c r="C152" s="323">
        <f>'Subaward 5'!C$118</f>
        <v>0</v>
      </c>
      <c r="D152" s="323">
        <f>'Subaward 5'!D$118</f>
        <v>0</v>
      </c>
      <c r="E152" s="323">
        <f>'Subaward 5'!E$118</f>
        <v>0</v>
      </c>
      <c r="F152" s="323">
        <f>'Subaward 5'!F$118</f>
        <v>0</v>
      </c>
      <c r="G152" s="318">
        <f t="shared" si="0"/>
        <v>0</v>
      </c>
      <c r="H152" s="332"/>
      <c r="I152" s="312"/>
      <c r="P152" s="292"/>
      <c r="Q152" s="292"/>
      <c r="U152" s="116"/>
      <c r="V152" s="116"/>
      <c r="W152" s="116"/>
    </row>
    <row r="153" spans="1:23" outlineLevel="1" x14ac:dyDescent="0.2">
      <c r="A153" s="373" t="str">
        <f>"Subaward #5 - Indirect Costs ("&amp;'Subaward 5'!A4&amp;")"</f>
        <v>Subaward #5 - Indirect Costs (Institution/Lead PI)</v>
      </c>
      <c r="B153" s="323">
        <f>'Subaward 5'!B$127</f>
        <v>0</v>
      </c>
      <c r="C153" s="323">
        <f>'Subaward 5'!C$127</f>
        <v>0</v>
      </c>
      <c r="D153" s="323">
        <f>'Subaward 5'!D$127</f>
        <v>0</v>
      </c>
      <c r="E153" s="323">
        <f>'Subaward 5'!E$127</f>
        <v>0</v>
      </c>
      <c r="F153" s="323">
        <f>'Subaward 5'!F$127</f>
        <v>0</v>
      </c>
      <c r="G153" s="318">
        <f t="shared" si="0"/>
        <v>0</v>
      </c>
      <c r="H153" s="332"/>
      <c r="I153" s="312" t="s">
        <v>164</v>
      </c>
      <c r="J153" s="323">
        <f>B152+B153</f>
        <v>0</v>
      </c>
      <c r="K153" s="323">
        <f>C152+C153</f>
        <v>0</v>
      </c>
      <c r="L153" s="323">
        <f>D152+D153</f>
        <v>0</v>
      </c>
      <c r="M153" s="323">
        <f>E152+E153</f>
        <v>0</v>
      </c>
      <c r="N153" s="323">
        <f>F152+F153</f>
        <v>0</v>
      </c>
      <c r="O153" s="318">
        <f>SUM(J153:N153)</f>
        <v>0</v>
      </c>
      <c r="P153" s="292"/>
      <c r="Q153" s="292"/>
      <c r="U153" s="116"/>
      <c r="V153" s="116"/>
      <c r="W153" s="116"/>
    </row>
    <row r="154" spans="1:23" outlineLevel="1" x14ac:dyDescent="0.2">
      <c r="A154" s="118" t="s">
        <v>87</v>
      </c>
      <c r="B154" s="391">
        <f>ROUND(SUM(B144:B153),0)</f>
        <v>0</v>
      </c>
      <c r="C154" s="391">
        <f>ROUND(SUM(C144:C153),0)</f>
        <v>0</v>
      </c>
      <c r="D154" s="391">
        <f>ROUND(SUM(D144:D153),0)</f>
        <v>0</v>
      </c>
      <c r="E154" s="391">
        <f>ROUND(SUM(E144:E153),0)</f>
        <v>0</v>
      </c>
      <c r="F154" s="391">
        <f>ROUND(SUM(F144:F153),0)</f>
        <v>0</v>
      </c>
      <c r="G154" s="392">
        <f t="shared" si="0"/>
        <v>0</v>
      </c>
      <c r="H154" s="371"/>
      <c r="P154" s="292"/>
      <c r="Q154" s="292"/>
      <c r="U154" s="116"/>
      <c r="V154" s="116"/>
      <c r="W154" s="116"/>
    </row>
    <row r="155" spans="1:23" outlineLevel="1" x14ac:dyDescent="0.2">
      <c r="A155" s="117"/>
      <c r="B155" s="393"/>
      <c r="C155" s="393"/>
      <c r="D155" s="393"/>
      <c r="E155" s="393"/>
      <c r="F155" s="393"/>
      <c r="G155" s="393"/>
      <c r="H155" s="371"/>
      <c r="P155" s="292"/>
      <c r="Q155" s="292"/>
      <c r="U155" s="116"/>
      <c r="V155" s="116"/>
      <c r="W155" s="116"/>
    </row>
    <row r="156" spans="1:23" x14ac:dyDescent="0.2">
      <c r="A156" s="119" t="s">
        <v>38</v>
      </c>
      <c r="B156" s="388">
        <f>ROUND(SUM(B141:B142,B154),0)</f>
        <v>0</v>
      </c>
      <c r="C156" s="388">
        <f>ROUND(SUM(C141:C142,C154),0)</f>
        <v>0</v>
      </c>
      <c r="D156" s="388">
        <f>ROUND(SUM(D141:D142,D154),0)</f>
        <v>0</v>
      </c>
      <c r="E156" s="388">
        <f>ROUND(SUM(E141:E142,E154),0)</f>
        <v>0</v>
      </c>
      <c r="F156" s="388">
        <f>ROUND(SUM(F141:F142,F154),0)</f>
        <v>0</v>
      </c>
      <c r="G156" s="370">
        <f>SUM(B156:F156)</f>
        <v>0</v>
      </c>
      <c r="H156" s="371"/>
      <c r="P156" s="292"/>
      <c r="Q156" s="292"/>
      <c r="U156" s="116"/>
      <c r="V156" s="116"/>
      <c r="W156" s="116"/>
    </row>
    <row r="157" spans="1:23" x14ac:dyDescent="0.2">
      <c r="A157" s="117"/>
      <c r="B157" s="394"/>
      <c r="C157" s="394"/>
      <c r="D157" s="394"/>
      <c r="E157" s="394"/>
      <c r="F157" s="394"/>
      <c r="G157" s="393"/>
      <c r="H157" s="371"/>
      <c r="P157" s="292"/>
      <c r="Q157" s="292"/>
      <c r="U157" s="116"/>
      <c r="V157" s="116"/>
      <c r="W157" s="116"/>
    </row>
    <row r="158" spans="1:23" x14ac:dyDescent="0.2">
      <c r="A158" s="257" t="s">
        <v>189</v>
      </c>
      <c r="B158" s="395"/>
      <c r="C158" s="395"/>
      <c r="D158" s="395"/>
      <c r="E158" s="395"/>
      <c r="F158" s="395"/>
      <c r="G158" s="396">
        <f>SUM(B158:F158)</f>
        <v>0</v>
      </c>
      <c r="H158" s="371"/>
      <c r="P158" s="292"/>
      <c r="Q158" s="292"/>
      <c r="U158" s="116"/>
      <c r="V158" s="116"/>
      <c r="W158" s="116"/>
    </row>
    <row r="159" spans="1:23" x14ac:dyDescent="0.2">
      <c r="A159" s="260" t="s">
        <v>168</v>
      </c>
      <c r="B159" s="397">
        <f>B161-B158</f>
        <v>0</v>
      </c>
      <c r="C159" s="397">
        <f>C161-C158</f>
        <v>0</v>
      </c>
      <c r="D159" s="397">
        <f>D161-D158</f>
        <v>0</v>
      </c>
      <c r="E159" s="397">
        <f>E161-E158</f>
        <v>0</v>
      </c>
      <c r="F159" s="397">
        <f>F161-F158</f>
        <v>0</v>
      </c>
      <c r="G159" s="397">
        <f>SUM(B159:F159)</f>
        <v>0</v>
      </c>
      <c r="H159" s="371"/>
      <c r="P159" s="292"/>
      <c r="Q159" s="292"/>
      <c r="U159" s="116"/>
      <c r="V159" s="116"/>
      <c r="W159" s="116"/>
    </row>
    <row r="160" spans="1:23" x14ac:dyDescent="0.2">
      <c r="A160" s="398"/>
      <c r="B160" s="399"/>
      <c r="C160" s="399"/>
      <c r="D160" s="400"/>
      <c r="E160" s="400"/>
      <c r="F160" s="400"/>
      <c r="G160" s="374"/>
      <c r="P160" s="292"/>
      <c r="Q160" s="292"/>
      <c r="U160" s="116"/>
      <c r="V160" s="116"/>
      <c r="W160" s="116"/>
    </row>
    <row r="161" spans="1:23" x14ac:dyDescent="0.2">
      <c r="A161" s="120" t="s">
        <v>92</v>
      </c>
      <c r="B161" s="401">
        <f>B163-B145-B147-B149-B151-B153</f>
        <v>0</v>
      </c>
      <c r="C161" s="401">
        <f>C163-C145-C147-C149-C151-C153</f>
        <v>0</v>
      </c>
      <c r="D161" s="401">
        <f>D163-D145-D147-D149-D151-D153</f>
        <v>0</v>
      </c>
      <c r="E161" s="401">
        <f>E163-E145-E147-E149-E151-E153</f>
        <v>0</v>
      </c>
      <c r="F161" s="401">
        <f>F163-F145-F147-F149-F151-F153</f>
        <v>0</v>
      </c>
      <c r="G161" s="402">
        <f>SUM(B161:F161)</f>
        <v>0</v>
      </c>
      <c r="P161" s="292"/>
      <c r="Q161" s="292"/>
      <c r="U161" s="116"/>
      <c r="V161" s="116"/>
      <c r="W161" s="116"/>
    </row>
    <row r="162" spans="1:23" x14ac:dyDescent="0.2">
      <c r="A162" s="398"/>
      <c r="B162" s="399"/>
      <c r="C162" s="399"/>
      <c r="D162" s="400"/>
      <c r="E162" s="400"/>
      <c r="F162" s="400"/>
      <c r="G162" s="374"/>
      <c r="P162" s="292"/>
      <c r="Q162" s="292"/>
      <c r="U162" s="116"/>
      <c r="V162" s="116"/>
      <c r="W162" s="116"/>
    </row>
    <row r="163" spans="1:23" x14ac:dyDescent="0.2">
      <c r="A163" s="117" t="s">
        <v>2</v>
      </c>
      <c r="B163" s="403">
        <f>SUM(B123,B129,B134,B138,B156)</f>
        <v>0</v>
      </c>
      <c r="C163" s="403">
        <f>SUM(C123,C129,C134,C138,C156)</f>
        <v>0</v>
      </c>
      <c r="D163" s="403">
        <f>SUM(D123,D129,D134,D138,D156)</f>
        <v>0</v>
      </c>
      <c r="E163" s="403">
        <f>SUM(E123,E129,E134,E138,E156)</f>
        <v>0</v>
      </c>
      <c r="F163" s="403">
        <f>SUM(F123,F129,F134,F138,F156)</f>
        <v>0</v>
      </c>
      <c r="G163" s="374">
        <f t="shared" ref="G163:G168" si="1">SUM(B163:F163)</f>
        <v>0</v>
      </c>
      <c r="H163" s="375"/>
      <c r="P163" s="292"/>
      <c r="Q163" s="292"/>
      <c r="U163" s="116"/>
      <c r="V163" s="116"/>
      <c r="W163" s="116"/>
    </row>
    <row r="164" spans="1:23" outlineLevel="1" x14ac:dyDescent="0.2">
      <c r="A164" s="373" t="s">
        <v>45</v>
      </c>
      <c r="B164" s="404">
        <f>-B129</f>
        <v>0</v>
      </c>
      <c r="C164" s="404">
        <f>-C129</f>
        <v>0</v>
      </c>
      <c r="D164" s="404">
        <f>-D129</f>
        <v>0</v>
      </c>
      <c r="E164" s="404">
        <f>-E129</f>
        <v>0</v>
      </c>
      <c r="F164" s="404">
        <f>-F129</f>
        <v>0</v>
      </c>
      <c r="G164" s="374">
        <f t="shared" si="1"/>
        <v>0</v>
      </c>
      <c r="H164" s="375"/>
      <c r="P164" s="292"/>
      <c r="Q164" s="292"/>
      <c r="U164" s="116"/>
      <c r="V164" s="116"/>
      <c r="W164" s="116"/>
    </row>
    <row r="165" spans="1:23" outlineLevel="1" x14ac:dyDescent="0.2">
      <c r="A165" s="373" t="s">
        <v>32</v>
      </c>
      <c r="B165" s="404">
        <f>-B141</f>
        <v>0</v>
      </c>
      <c r="C165" s="404">
        <f>-C141</f>
        <v>0</v>
      </c>
      <c r="D165" s="404">
        <f>-D141</f>
        <v>0</v>
      </c>
      <c r="E165" s="404">
        <f>-E141</f>
        <v>0</v>
      </c>
      <c r="F165" s="404">
        <f>-F141</f>
        <v>0</v>
      </c>
      <c r="G165" s="374">
        <f t="shared" si="1"/>
        <v>0</v>
      </c>
      <c r="H165" s="375"/>
      <c r="P165" s="292"/>
      <c r="Q165" s="292"/>
      <c r="U165" s="116"/>
      <c r="V165" s="116"/>
      <c r="W165" s="116"/>
    </row>
    <row r="166" spans="1:23" outlineLevel="1" x14ac:dyDescent="0.2">
      <c r="A166" s="373" t="s">
        <v>47</v>
      </c>
      <c r="B166" s="405">
        <f>-B138</f>
        <v>0</v>
      </c>
      <c r="C166" s="405">
        <f>-C138</f>
        <v>0</v>
      </c>
      <c r="D166" s="405">
        <f>-D138</f>
        <v>0</v>
      </c>
      <c r="E166" s="405">
        <f>-E138</f>
        <v>0</v>
      </c>
      <c r="F166" s="405">
        <f>-F138</f>
        <v>0</v>
      </c>
      <c r="G166" s="374">
        <f t="shared" si="1"/>
        <v>0</v>
      </c>
      <c r="H166" s="375"/>
      <c r="P166" s="292"/>
      <c r="Q166" s="292"/>
      <c r="U166" s="116"/>
      <c r="V166" s="116"/>
      <c r="W166" s="116"/>
    </row>
    <row r="167" spans="1:23" outlineLevel="1" x14ac:dyDescent="0.2">
      <c r="A167" s="373" t="str">
        <f>"Less Subaward #1 Total Costs &gt; "&amp;DOLLAR($J$167,0)</f>
        <v>Less Subaward #1 Total Costs &gt; $25,000</v>
      </c>
      <c r="B167" s="406">
        <f>IF(J167&gt;0,-IF(J145&gt;$J$167, J145-$J$167, 0),0)</f>
        <v>0</v>
      </c>
      <c r="C167" s="406">
        <f>IF(J167&gt;0,-IF(J145&gt;$J$167,K145,IF(SUM($J145:K$145)&lt;$J$167,0,SUM($J145:K$145)-$J$167+SUM($B167:B$167))),0)</f>
        <v>0</v>
      </c>
      <c r="D167" s="406">
        <f>IF(J167&gt;0,-IF(K145&gt;$J$167,L145,IF(SUM($J145:L$145)&lt;$J$167,0,SUM($J145:L$145)-$J$167+SUM($B167:C$167))),0)</f>
        <v>0</v>
      </c>
      <c r="E167" s="406">
        <f>IF(J167&gt;0,-IF(L145&gt;$J$167,M145,IF(SUM($J145:M$145)&lt;$J$167,0,SUM($J145:M$145)-$J$167+SUM($B167:D$167))),0)</f>
        <v>0</v>
      </c>
      <c r="F167" s="406">
        <f>IF(J167&gt;0,-IF(M145&gt;$J$167,N145,IF(SUM($J145:N$145)&lt;$J$167,0,SUM($J145:N$145)-$J$167+SUM($B167:E$167))),0)</f>
        <v>0</v>
      </c>
      <c r="G167" s="318">
        <f t="shared" si="1"/>
        <v>0</v>
      </c>
      <c r="H167" s="375"/>
      <c r="I167" s="312" t="s">
        <v>184</v>
      </c>
      <c r="J167" s="451">
        <v>25000</v>
      </c>
      <c r="P167" s="292"/>
      <c r="Q167" s="292"/>
      <c r="U167" s="116"/>
      <c r="V167" s="116"/>
      <c r="W167" s="116"/>
    </row>
    <row r="168" spans="1:23" outlineLevel="1" x14ac:dyDescent="0.2">
      <c r="A168" s="373" t="str">
        <f>"Less Subaward #2 Total Costs &gt; "&amp;DOLLAR($J$167,0)</f>
        <v>Less Subaward #2 Total Costs &gt; $25,000</v>
      </c>
      <c r="B168" s="406">
        <f>IF(J167&gt;0,-IF(J147&gt;$J$167, J147-$J$167, 0),0)</f>
        <v>0</v>
      </c>
      <c r="C168" s="406">
        <f>IF(J167&gt;0,-IF(J147&gt;$J$167,K147,IF(SUM($J$147:K147)&lt;$J$167,0,SUM($J$147:K147)-$J$167+SUM($B$168:B168))),0)</f>
        <v>0</v>
      </c>
      <c r="D168" s="406">
        <f>IF(J167&gt;0,-IF(K147&gt;$J$167,L147,IF(SUM($J$147:L147)&lt;$J$167,0,SUM($J$147:L147)-$J$167+SUM($B$168:C168))),0)</f>
        <v>0</v>
      </c>
      <c r="E168" s="406">
        <f>IF(J167&gt;0,-IF(L147&gt;$J$167,M147,IF(SUM($J$147:M147)&lt;$J$167,0,SUM($J$147:M147)-$J$167+SUM($B$168:D168))),0)</f>
        <v>0</v>
      </c>
      <c r="F168" s="406">
        <f>IF(J167&gt;0,-IF(M147&gt;$J$167,N147,IF(SUM($J$147:N147)&lt;$J$167,0,SUM($J$147:N147)-$J$167+SUM($B$168:E168))),0)</f>
        <v>0</v>
      </c>
      <c r="G168" s="318">
        <f t="shared" si="1"/>
        <v>0</v>
      </c>
      <c r="H168" s="375"/>
      <c r="P168" s="292"/>
      <c r="Q168" s="292"/>
      <c r="U168" s="116"/>
      <c r="V168" s="116"/>
      <c r="W168" s="116"/>
    </row>
    <row r="169" spans="1:23" outlineLevel="1" x14ac:dyDescent="0.2">
      <c r="A169" s="373" t="str">
        <f>"Less Subaward #3 Total Costs &gt; "&amp;DOLLAR($J$167,0)</f>
        <v>Less Subaward #3 Total Costs &gt; $25,000</v>
      </c>
      <c r="B169" s="406">
        <f>IF($J$167&gt;0,-IF(J149&gt;$J$167, J149-$J$167, 0),0)</f>
        <v>0</v>
      </c>
      <c r="C169" s="406">
        <f>IF(J167&gt;0,-IF(J149&gt;$J$167,K149,IF(SUM($J$149:K149)&lt;$J$167,0,SUM($J$149:K149)-$J$167+SUM($B$169:B169))),0)</f>
        <v>0</v>
      </c>
      <c r="D169" s="406">
        <f>IF(J167&gt;0,-IF(K149&gt;$J$167,L149,IF(SUM($J$149:L149)&lt;$J$167,0,SUM($J$149:L149)-$J$167+SUM($B$169:C169))),0)</f>
        <v>0</v>
      </c>
      <c r="E169" s="406">
        <f>IF(J167&gt;0,-IF(L149&gt;$J$167,M149,IF(SUM($J$149:M149)&lt;$J$167,0,SUM($J$149:M149)-$J$167+SUM($B$169:D169))),0)</f>
        <v>0</v>
      </c>
      <c r="F169" s="406">
        <f>IF(J167&gt;0,-IF(M149&gt;$J$167,N149,IF(SUM($J$149:N149)&lt;$J$167,0,SUM($J$149:N149)-$J$167+SUM($B$169:E169))),0)</f>
        <v>0</v>
      </c>
      <c r="G169" s="318">
        <f>SUM(B169:F169)</f>
        <v>0</v>
      </c>
      <c r="H169" s="375"/>
      <c r="P169" s="292"/>
      <c r="Q169" s="292"/>
      <c r="U169" s="116"/>
      <c r="V169" s="116"/>
      <c r="W169" s="116"/>
    </row>
    <row r="170" spans="1:23" outlineLevel="1" x14ac:dyDescent="0.2">
      <c r="A170" s="373" t="str">
        <f>"Less Subaward #4 Total Costs &gt; "&amp;DOLLAR($J$167,0)</f>
        <v>Less Subaward #4 Total Costs &gt; $25,000</v>
      </c>
      <c r="B170" s="406">
        <f>IF($J$167&gt;0,-IF(J151&gt;$J$167, J151-$J$167, 0),0)</f>
        <v>0</v>
      </c>
      <c r="C170" s="406">
        <f>IF($J$167&gt;0,-IF(J151&gt;$J$167,K151,IF(SUM($J151:K$151)&lt;$J$167,0,SUM($J151:K$151)-$J$167+SUM($B170:B$170))),0)</f>
        <v>0</v>
      </c>
      <c r="D170" s="406">
        <f>IF(J167&gt;0,-IF(K151&gt;$J$167,L151,IF(SUM($J151:L$151)&lt;$J$167,0,SUM($J151:L$151)-$J$167+SUM($B170:C$170))),0)</f>
        <v>0</v>
      </c>
      <c r="E170" s="406">
        <f>IF(J167&gt;0,-IF(L151&gt;$J$167,M151,IF(SUM($J151:M$151)&lt;$J$167,0,SUM($J151:M$151)-$J$167+SUM($B170:D$170))),0)</f>
        <v>0</v>
      </c>
      <c r="F170" s="406">
        <f>IF(J167&gt;0,-IF(M151&gt;$J$167,N151,IF(SUM($J151:N$151)&lt;$J$167,0,SUM($J151:N$151)-$J$167+SUM($B170:E$170))),0)</f>
        <v>0</v>
      </c>
      <c r="G170" s="318">
        <f>SUM(B170:F170)</f>
        <v>0</v>
      </c>
      <c r="H170" s="375"/>
      <c r="P170" s="292"/>
      <c r="Q170" s="292"/>
      <c r="U170" s="116"/>
      <c r="V170" s="116"/>
      <c r="W170" s="116"/>
    </row>
    <row r="171" spans="1:23" outlineLevel="1" x14ac:dyDescent="0.2">
      <c r="A171" s="373" t="str">
        <f>"Less Subaward #5 Total Costs &gt; "&amp;DOLLAR($J$167,0)</f>
        <v>Less Subaward #5 Total Costs &gt; $25,000</v>
      </c>
      <c r="B171" s="406">
        <f>IF($J$167&gt;0,-IF(J153&gt;$J$167, J153-$J$167, 0),0)</f>
        <v>0</v>
      </c>
      <c r="C171" s="406">
        <f>IF($J$167&gt;0,-IF(J153&gt;$J$167,K153,IF(SUM($J153:K$153)&lt;$J$167,0,SUM($J153:K$153)-$J$167+SUM($B171:B$171))),0)</f>
        <v>0</v>
      </c>
      <c r="D171" s="406">
        <f>IF(J167&gt;0,-IF(K153&gt;$J$167,L153,IF(SUM($J153:L$153)&lt;$J$167,0,SUM($J153:L$153)-$J$167+SUM($B171:C$171))),0)</f>
        <v>0</v>
      </c>
      <c r="E171" s="406">
        <f>IF(J167&gt;0,-IF(L153&gt;$J$167,M153,IF(SUM($J$153:M153)&lt;$J$167,0,SUM($J$153:M153)-$J$167+SUM($B$171:D171))),0)</f>
        <v>0</v>
      </c>
      <c r="F171" s="406">
        <f>IF(J167&gt;0,-IF(M153&gt;$J$167,N153,IF(SUM($J$153:N153)&lt;$J$167,0,SUM($J$153:N153)-$J$167+SUM($B$171:E171))),0)</f>
        <v>0</v>
      </c>
      <c r="G171" s="318">
        <f>SUM(B171:F171)</f>
        <v>0</v>
      </c>
      <c r="H171" s="375"/>
      <c r="P171" s="292"/>
      <c r="Q171" s="292"/>
      <c r="U171" s="116"/>
      <c r="V171" s="116"/>
      <c r="W171" s="116"/>
    </row>
    <row r="172" spans="1:23" x14ac:dyDescent="0.2">
      <c r="A172" s="113" t="s">
        <v>13</v>
      </c>
      <c r="B172" s="370">
        <f>ROUND(SUM(B163:B171),0)</f>
        <v>0</v>
      </c>
      <c r="C172" s="370">
        <f>ROUND(SUM(C163:C171),0)</f>
        <v>0</v>
      </c>
      <c r="D172" s="370">
        <f>ROUND(SUM(D163:D171),0)</f>
        <v>0</v>
      </c>
      <c r="E172" s="370">
        <f>ROUND(SUM(E163:E171),0)</f>
        <v>0</v>
      </c>
      <c r="F172" s="370">
        <f>ROUND(SUM(F163:F171),0)</f>
        <v>0</v>
      </c>
      <c r="G172" s="392">
        <f>SUM(B172:F172)</f>
        <v>0</v>
      </c>
      <c r="H172" s="375"/>
      <c r="P172" s="292"/>
      <c r="Q172" s="292"/>
      <c r="U172" s="116"/>
      <c r="V172" s="116"/>
      <c r="W172" s="116"/>
    </row>
    <row r="173" spans="1:23" x14ac:dyDescent="0.2">
      <c r="A173" s="407"/>
      <c r="B173" s="408"/>
      <c r="C173" s="408"/>
      <c r="D173" s="323"/>
      <c r="E173" s="323"/>
      <c r="F173" s="323"/>
      <c r="G173" s="318"/>
      <c r="P173" s="292"/>
      <c r="Q173" s="292"/>
      <c r="U173" s="116"/>
      <c r="V173" s="116"/>
      <c r="W173" s="116"/>
    </row>
    <row r="174" spans="1:23" x14ac:dyDescent="0.2">
      <c r="A174" s="115" t="s">
        <v>30</v>
      </c>
      <c r="B174" s="408"/>
      <c r="C174" s="408"/>
      <c r="D174" s="323"/>
      <c r="E174" s="323"/>
      <c r="F174" s="323"/>
      <c r="G174" s="318"/>
      <c r="I174" s="312" t="s">
        <v>119</v>
      </c>
      <c r="J174" s="409" t="s">
        <v>121</v>
      </c>
      <c r="P174" s="312"/>
      <c r="Q174" s="312" t="s">
        <v>129</v>
      </c>
      <c r="U174" s="116"/>
      <c r="V174" s="116"/>
      <c r="W174" s="116"/>
    </row>
    <row r="175" spans="1:23" x14ac:dyDescent="0.2">
      <c r="A175" s="331" t="str">
        <f>IF(J175="TC","F&amp;A Costs @ "&amp;ROUND((I175/(1-I175)),4)*100&amp;"% TDC or " &amp;I175*100&amp;"% TC", "F&amp;A Costs @ "&amp;I175*100&amp;"% "&amp;J175)</f>
        <v>F&amp;A Costs @ 0% MTDC</v>
      </c>
      <c r="B175" s="323">
        <f>IF($J175="MTDC",(B$172*$I175),IF($J175="TDC",(B$163*$I175),IF($J175="TC",(B$163*($I175/(1-$I175))))))</f>
        <v>0</v>
      </c>
      <c r="C175" s="323">
        <f t="shared" ref="C175:F175" si="2">IF($J175="MTDC",(C$172*$I175),IF($J175="TDC",(C$163*$I175),IF($J175="TC",(C$163*($I175/(1-$I175))))))</f>
        <v>0</v>
      </c>
      <c r="D175" s="323">
        <f t="shared" si="2"/>
        <v>0</v>
      </c>
      <c r="E175" s="323">
        <f t="shared" si="2"/>
        <v>0</v>
      </c>
      <c r="F175" s="323">
        <f t="shared" si="2"/>
        <v>0</v>
      </c>
      <c r="G175" s="318">
        <f>SUM(B175:F175)</f>
        <v>0</v>
      </c>
      <c r="H175" s="375"/>
      <c r="I175" s="452"/>
      <c r="J175" s="453" t="s">
        <v>120</v>
      </c>
      <c r="K175" s="433"/>
      <c r="P175" s="410"/>
      <c r="Q175" s="292" t="s">
        <v>120</v>
      </c>
      <c r="U175" s="116"/>
      <c r="V175" s="116"/>
      <c r="W175" s="116"/>
    </row>
    <row r="176" spans="1:23" x14ac:dyDescent="0.2">
      <c r="A176" s="331"/>
      <c r="B176" s="323"/>
      <c r="C176" s="323"/>
      <c r="D176" s="323"/>
      <c r="E176" s="323"/>
      <c r="F176" s="323"/>
      <c r="G176" s="318"/>
      <c r="H176" s="375"/>
      <c r="I176" s="364"/>
      <c r="J176" s="115"/>
      <c r="K176" s="115"/>
      <c r="L176" s="115"/>
      <c r="M176" s="115"/>
      <c r="N176" s="115"/>
      <c r="P176" s="410"/>
      <c r="Q176" s="292" t="s">
        <v>131</v>
      </c>
      <c r="U176" s="116"/>
      <c r="V176" s="116"/>
      <c r="W176" s="116"/>
    </row>
    <row r="177" spans="1:23" x14ac:dyDescent="0.2">
      <c r="A177" s="115" t="s">
        <v>201</v>
      </c>
      <c r="B177" s="408"/>
      <c r="C177" s="408"/>
      <c r="D177" s="323"/>
      <c r="E177" s="323"/>
      <c r="F177" s="323"/>
      <c r="G177" s="318"/>
      <c r="I177" s="312" t="s">
        <v>202</v>
      </c>
      <c r="K177" s="312" t="s">
        <v>203</v>
      </c>
      <c r="L177" s="409" t="s">
        <v>121</v>
      </c>
      <c r="M177" s="291"/>
      <c r="N177" s="291"/>
      <c r="P177" s="410"/>
      <c r="Q177" s="292" t="s">
        <v>132</v>
      </c>
      <c r="U177" s="116"/>
      <c r="V177" s="116"/>
      <c r="W177" s="116"/>
    </row>
    <row r="178" spans="1:23" x14ac:dyDescent="0.2">
      <c r="A178" s="331" t="str">
        <f>IF(L178="TC","F&amp;A Costs @ "&amp;ROUND((K178/(1-K178)),4)*100&amp;"% TDC or " &amp;K178*100&amp;"% TC", "F&amp;A Costs @ "&amp;K178*100&amp;"% "&amp;L178)</f>
        <v>F&amp;A Costs @ 0% MTDC</v>
      </c>
      <c r="B178" s="323">
        <f>IF($L178="MTDC",(B$172*$K178),IF($L178="TDC",(B$163*$K178),IF($L178="TC",(B$163*($K178/(1-$K178))))))</f>
        <v>0</v>
      </c>
      <c r="C178" s="323">
        <f t="shared" ref="C178:F178" si="3">IF($L178="MTDC",(C$172*$K178),IF($L178="TDC",(C$163*$K178),IF($L178="TC",(C$163*($K178/(1-$K178))))))</f>
        <v>0</v>
      </c>
      <c r="D178" s="323">
        <f t="shared" si="3"/>
        <v>0</v>
      </c>
      <c r="E178" s="323">
        <f t="shared" si="3"/>
        <v>0</v>
      </c>
      <c r="F178" s="323">
        <f t="shared" si="3"/>
        <v>0</v>
      </c>
      <c r="G178" s="318">
        <f>SUM(B178:F178)</f>
        <v>0</v>
      </c>
      <c r="H178" s="375"/>
      <c r="I178" s="452"/>
      <c r="J178" s="454"/>
      <c r="K178" s="456">
        <f>IF(I178&lt;=0.1,I178*0.5,I178-0.05)</f>
        <v>0</v>
      </c>
      <c r="L178" s="453" t="s">
        <v>120</v>
      </c>
      <c r="M178" s="291"/>
      <c r="N178" s="291"/>
      <c r="P178" s="410"/>
      <c r="Q178" s="292"/>
      <c r="U178" s="116"/>
      <c r="V178" s="116"/>
      <c r="W178" s="116"/>
    </row>
    <row r="179" spans="1:23" x14ac:dyDescent="0.2">
      <c r="A179" s="331"/>
      <c r="B179" s="323"/>
      <c r="C179" s="323"/>
      <c r="D179" s="323"/>
      <c r="E179" s="323"/>
      <c r="F179" s="323"/>
      <c r="G179" s="318"/>
      <c r="H179" s="375"/>
      <c r="I179" s="455"/>
      <c r="L179" s="292"/>
      <c r="M179" s="291"/>
      <c r="N179" s="291"/>
      <c r="P179" s="410"/>
      <c r="Q179" s="292"/>
      <c r="U179" s="116"/>
      <c r="V179" s="116"/>
      <c r="W179" s="116"/>
    </row>
    <row r="180" spans="1:23" x14ac:dyDescent="0.2">
      <c r="A180" s="331"/>
      <c r="B180" s="323"/>
      <c r="C180" s="323"/>
      <c r="D180" s="323"/>
      <c r="E180" s="323"/>
      <c r="F180" s="323"/>
      <c r="G180" s="318"/>
      <c r="H180" s="375"/>
      <c r="I180" s="364"/>
      <c r="J180" s="457" t="s">
        <v>197</v>
      </c>
      <c r="K180" s="457"/>
      <c r="L180" s="457"/>
      <c r="M180" s="457"/>
      <c r="N180" s="457"/>
      <c r="P180" s="410"/>
      <c r="Q180" s="292"/>
      <c r="U180" s="116"/>
      <c r="V180" s="116"/>
      <c r="W180" s="116"/>
    </row>
    <row r="181" spans="1:23" x14ac:dyDescent="0.2">
      <c r="A181" s="115" t="s">
        <v>200</v>
      </c>
      <c r="B181" s="323"/>
      <c r="C181" s="323"/>
      <c r="D181" s="323"/>
      <c r="E181" s="323"/>
      <c r="F181" s="323"/>
      <c r="G181" s="318"/>
      <c r="H181" s="375"/>
      <c r="I181" s="364"/>
      <c r="J181" s="291" t="s">
        <v>6</v>
      </c>
      <c r="K181" s="291" t="s">
        <v>5</v>
      </c>
      <c r="L181" s="291" t="s">
        <v>7</v>
      </c>
      <c r="M181" s="291" t="s">
        <v>8</v>
      </c>
      <c r="N181" s="291" t="s">
        <v>9</v>
      </c>
      <c r="P181" s="410"/>
      <c r="Q181" s="292"/>
      <c r="U181" s="116"/>
      <c r="V181" s="116"/>
      <c r="W181" s="116"/>
    </row>
    <row r="182" spans="1:23" x14ac:dyDescent="0.2">
      <c r="A182" s="331" t="s">
        <v>191</v>
      </c>
      <c r="B182" s="323">
        <f>IF(AND(ISBLANK($I$175),ISBLANK($I$178)),IF(AND(DATE(2024,6,30)&lt;$J$4,$J$4&lt;DATE(2025,7,1)),B$172*($P$4/12)*0.545,0),0)</f>
        <v>0</v>
      </c>
      <c r="C182" s="434"/>
      <c r="D182" s="434"/>
      <c r="E182" s="434"/>
      <c r="F182" s="434"/>
      <c r="G182" s="318">
        <f>SUM(B182:F182)</f>
        <v>0</v>
      </c>
      <c r="H182" s="375">
        <v>0.54500000000000004</v>
      </c>
      <c r="I182" s="432"/>
      <c r="J182" s="436">
        <f>IF(ISBLANK($I$175),IF(AND(DATE(2024,6,30)&lt;$J$4,$J$4&lt;DATE(2025,7,1)),B$172*($P$4/12),0),0)</f>
        <v>0</v>
      </c>
      <c r="K182" s="437"/>
      <c r="L182" s="437"/>
      <c r="M182" s="437"/>
      <c r="N182" s="438"/>
      <c r="P182" s="410"/>
      <c r="U182" s="116"/>
      <c r="V182" s="116"/>
      <c r="W182" s="116"/>
    </row>
    <row r="183" spans="1:23" x14ac:dyDescent="0.2">
      <c r="A183" s="331" t="s">
        <v>192</v>
      </c>
      <c r="B183" s="323">
        <f>IF(AND(ISBLANK($I$175),ISBLANK($I$178)),IF(AND(DATE(2024,6,30)&lt;$J$4,$J$4&lt;DATE(2025,7,1)),B$172*((12-$P$4)/12)*0.55,IF(AND(DATE(2025,6,30)&lt;$J$4,$J$4&lt;DATE(2026,7,1)),B$172*($P$4/12)*0.55,0)),0)</f>
        <v>0</v>
      </c>
      <c r="C183" s="323">
        <f>IF(AND(ISBLANK($I$175),ISBLANK($I$178)),IF(AND(DATE(2024,6,30)&lt;$J$4,$J$4&lt;DATE(2025,7,1)),C$172*($P$4/12)*0.55,0),0)</f>
        <v>0</v>
      </c>
      <c r="D183" s="434"/>
      <c r="E183" s="434"/>
      <c r="F183" s="434"/>
      <c r="G183" s="318">
        <f>SUM(B183:F183)</f>
        <v>0</v>
      </c>
      <c r="H183" s="375">
        <v>0.55000000000000004</v>
      </c>
      <c r="I183" s="432"/>
      <c r="J183" s="439">
        <f>IF(ISBLANK($I$175),IF(AND(DATE(2024,6,30)&lt;$J$4,$J$4&lt;DATE(2025,7,1)),B$172*((12-$P$4)/12),IF(AND(DATE(2025,6,30)&lt;$J$4,$J$4&lt;DATE(2026,7,1)),B$172*($P$4/12),0)),0)</f>
        <v>0</v>
      </c>
      <c r="K183" s="440">
        <f>IF(ISBLANK($I$175),IF(AND(DATE(2024,6,30)&lt;$J$4,$J$4&lt;DATE(2025,7,1)),C$172*($P$4/12),0),0)</f>
        <v>0</v>
      </c>
      <c r="L183" s="441"/>
      <c r="M183" s="441"/>
      <c r="N183" s="442"/>
      <c r="P183" s="410"/>
      <c r="Q183" s="292"/>
      <c r="U183" s="116"/>
      <c r="V183" s="116"/>
      <c r="W183" s="116"/>
    </row>
    <row r="184" spans="1:23" x14ac:dyDescent="0.2">
      <c r="A184" s="331" t="s">
        <v>193</v>
      </c>
      <c r="B184" s="323">
        <f>IF(AND(ISBLANK($I$175),ISBLANK($I$178)),IF(AND(DATE(2024,6,30)&lt;$J$4,$J$4&lt;DATE(2025,6,30)),0,(IF(AND(DATE(2025,6,30)&lt;$J$4,$J$4&lt;DATE(2026,6,30)),B$172*((12-$P$4)/12)*0.555,B172*0.555))),0)</f>
        <v>0</v>
      </c>
      <c r="C184" s="323">
        <f>IF(AND(ISBLANK($I$175),ISBLANK($I$178)),IF(AND(DATE(2024,6,30)&lt;$J$4,$J$4&lt;DATE(2025,6,30)),C$172*((12-$P$4)/12)*0.555,C$172*0.555),0)</f>
        <v>0</v>
      </c>
      <c r="D184" s="323">
        <f>IF(AND(ISBLANK($I$175),ISBLANK($I$178)),D$172*0.555,0)</f>
        <v>0</v>
      </c>
      <c r="E184" s="323">
        <f>IF(AND(ISBLANK($I$175),ISBLANK($I$178)),E$172*0.555,0)</f>
        <v>0</v>
      </c>
      <c r="F184" s="323">
        <f>IF(AND(ISBLANK($I$175),ISBLANK($I$178)),F$172*0.555,0)</f>
        <v>0</v>
      </c>
      <c r="G184" s="318">
        <f>SUM(B184:F184)</f>
        <v>0</v>
      </c>
      <c r="H184" s="375">
        <v>0.55500000000000005</v>
      </c>
      <c r="I184" s="432"/>
      <c r="J184" s="443">
        <f>IF(ISBLANK($I$175),IF(AND(DATE(2024,6,30)&lt;$J$4,$J$4&lt;DATE(2025,6,30)),0,(IF(AND(DATE(2025,6,30)&lt;$J$4,$J$4&lt;DATE(2026,6,30)),B$172*((12-$P$4)/12),B$172))),0)</f>
        <v>0</v>
      </c>
      <c r="K184" s="444">
        <f>IF(ISBLANK($I$175),IF(AND(DATE(2024,6,30)&lt;$J$4,$J$4&lt;DATE(2025,6,30)),C$172*((12-$P$4)/12),C$172),0)</f>
        <v>0</v>
      </c>
      <c r="L184" s="444">
        <f>IF(ISBLANK($I$175),D$172,0)</f>
        <v>0</v>
      </c>
      <c r="M184" s="444">
        <f>IF(ISBLANK($I$175),E$172,0)</f>
        <v>0</v>
      </c>
      <c r="N184" s="445">
        <f>IF(ISBLANK($I$175),F$172,0)</f>
        <v>0</v>
      </c>
      <c r="P184" s="410"/>
      <c r="Q184" s="292"/>
      <c r="U184" s="116"/>
      <c r="V184" s="116"/>
      <c r="W184" s="116"/>
    </row>
    <row r="185" spans="1:23" hidden="1" x14ac:dyDescent="0.2">
      <c r="A185" s="331"/>
      <c r="B185" s="323"/>
      <c r="C185" s="323"/>
      <c r="D185" s="323"/>
      <c r="E185" s="323"/>
      <c r="F185" s="323"/>
      <c r="G185" s="318"/>
      <c r="H185" s="375"/>
      <c r="I185" s="364"/>
      <c r="J185" s="292"/>
      <c r="P185" s="410"/>
      <c r="Q185" s="292"/>
      <c r="U185" s="116"/>
      <c r="V185" s="116"/>
      <c r="W185" s="116"/>
    </row>
    <row r="186" spans="1:23" x14ac:dyDescent="0.2">
      <c r="A186" s="113" t="s">
        <v>53</v>
      </c>
      <c r="B186" s="370">
        <f>ROUND(SUM(B175:B185),0)</f>
        <v>0</v>
      </c>
      <c r="C186" s="370">
        <f>ROUND(SUM(C175:C185),0)</f>
        <v>0</v>
      </c>
      <c r="D186" s="370">
        <f>ROUND(SUM(D175:D185),0)</f>
        <v>0</v>
      </c>
      <c r="E186" s="370">
        <f>ROUND(SUM(E175:E185),0)</f>
        <v>0</v>
      </c>
      <c r="F186" s="370">
        <f>ROUND(SUM(F175:F185),0)</f>
        <v>0</v>
      </c>
      <c r="G186" s="392">
        <f>SUM(B186:F186)</f>
        <v>0</v>
      </c>
      <c r="H186" s="375"/>
      <c r="I186" s="431"/>
      <c r="P186" s="292"/>
      <c r="Q186" s="292"/>
      <c r="U186" s="116"/>
      <c r="V186" s="116"/>
      <c r="W186" s="116"/>
    </row>
    <row r="187" spans="1:23" x14ac:dyDescent="0.2">
      <c r="A187" s="331"/>
      <c r="B187" s="323"/>
      <c r="C187" s="323"/>
      <c r="D187" s="323"/>
      <c r="E187" s="323"/>
      <c r="F187" s="323"/>
      <c r="G187" s="318"/>
      <c r="I187" s="435"/>
      <c r="P187" s="292"/>
      <c r="Q187" s="292"/>
      <c r="U187" s="116"/>
      <c r="V187" s="116"/>
      <c r="W187" s="116"/>
    </row>
    <row r="188" spans="1:23" x14ac:dyDescent="0.2">
      <c r="A188" s="114" t="s">
        <v>96</v>
      </c>
      <c r="B188" s="381">
        <f>B163+B186</f>
        <v>0</v>
      </c>
      <c r="C188" s="381">
        <f>C163+C186</f>
        <v>0</v>
      </c>
      <c r="D188" s="381">
        <f>D163+D186</f>
        <v>0</v>
      </c>
      <c r="E188" s="381">
        <f>E163+E186</f>
        <v>0</v>
      </c>
      <c r="F188" s="381">
        <f>F163+F186</f>
        <v>0</v>
      </c>
      <c r="G188" s="381">
        <f>SUM(B188:F188)</f>
        <v>0</v>
      </c>
      <c r="H188" s="375"/>
      <c r="I188" s="411"/>
      <c r="P188" s="292"/>
      <c r="Q188" s="292"/>
      <c r="U188" s="116"/>
      <c r="V188" s="116"/>
      <c r="W188" s="116"/>
    </row>
    <row r="189" spans="1:23" x14ac:dyDescent="0.2">
      <c r="A189" s="114"/>
      <c r="B189" s="381"/>
      <c r="C189" s="381"/>
      <c r="D189" s="381"/>
      <c r="E189" s="381"/>
      <c r="F189" s="381"/>
      <c r="G189" s="381"/>
      <c r="H189" s="375"/>
      <c r="P189" s="292"/>
      <c r="Q189" s="292"/>
      <c r="U189" s="116"/>
      <c r="V189" s="116"/>
      <c r="W189" s="116"/>
    </row>
    <row r="190" spans="1:23" x14ac:dyDescent="0.2">
      <c r="A190" s="412" t="s">
        <v>107</v>
      </c>
      <c r="B190" s="413" t="s">
        <v>6</v>
      </c>
      <c r="C190" s="413" t="s">
        <v>5</v>
      </c>
      <c r="D190" s="413" t="s">
        <v>7</v>
      </c>
      <c r="E190" s="413" t="s">
        <v>8</v>
      </c>
      <c r="F190" s="413" t="s">
        <v>9</v>
      </c>
      <c r="G190" s="413" t="s">
        <v>10</v>
      </c>
      <c r="P190" s="292"/>
      <c r="Q190" s="292"/>
      <c r="U190" s="116"/>
      <c r="V190" s="116"/>
      <c r="W190" s="116"/>
    </row>
    <row r="191" spans="1:23" ht="20.25" customHeight="1" outlineLevel="1" x14ac:dyDescent="0.2">
      <c r="A191" s="414" t="s">
        <v>178</v>
      </c>
      <c r="B191" s="415">
        <f>'Cost Share'!B110</f>
        <v>0</v>
      </c>
      <c r="C191" s="415">
        <f>'Cost Share'!C110</f>
        <v>0</v>
      </c>
      <c r="D191" s="415">
        <f>'Cost Share'!D110</f>
        <v>0</v>
      </c>
      <c r="E191" s="415">
        <f>'Cost Share'!E110</f>
        <v>0</v>
      </c>
      <c r="F191" s="415">
        <f>'Cost Share'!F110</f>
        <v>0</v>
      </c>
      <c r="G191" s="416">
        <f>SUM(B191:F191)</f>
        <v>0</v>
      </c>
      <c r="P191" s="292"/>
      <c r="Q191" s="292"/>
      <c r="U191" s="116"/>
      <c r="V191" s="116"/>
      <c r="W191" s="116"/>
    </row>
    <row r="192" spans="1:23" ht="22.5" customHeight="1" outlineLevel="1" x14ac:dyDescent="0.2">
      <c r="A192" s="414" t="s">
        <v>177</v>
      </c>
      <c r="B192" s="415">
        <f>'Cost Share'!B118</f>
        <v>0</v>
      </c>
      <c r="C192" s="415">
        <f>'Cost Share'!C118</f>
        <v>0</v>
      </c>
      <c r="D192" s="415">
        <f>'Cost Share'!D118</f>
        <v>0</v>
      </c>
      <c r="E192" s="415">
        <f>'Cost Share'!E118</f>
        <v>0</v>
      </c>
      <c r="F192" s="415">
        <f>'Cost Share'!F118</f>
        <v>0</v>
      </c>
      <c r="G192" s="416">
        <f>SUM(B192:F192)</f>
        <v>0</v>
      </c>
      <c r="P192" s="292"/>
      <c r="Q192" s="292"/>
      <c r="U192" s="116"/>
      <c r="V192" s="116"/>
      <c r="W192" s="116"/>
    </row>
    <row r="193" spans="1:23" ht="19.5" customHeight="1" outlineLevel="1" x14ac:dyDescent="0.2">
      <c r="A193" s="414" t="s">
        <v>179</v>
      </c>
      <c r="B193" s="417">
        <f>'Cost Share'!B126+'Cost Share'!B131+'Cost Share'!B135+'Cost Share'!B153</f>
        <v>0</v>
      </c>
      <c r="C193" s="417">
        <f>'Cost Share'!C126+'Cost Share'!C131+'Cost Share'!C135+'Cost Share'!C153</f>
        <v>0</v>
      </c>
      <c r="D193" s="417">
        <f>'Cost Share'!D126+'Cost Share'!D131+'Cost Share'!D135+'Cost Share'!D153</f>
        <v>0</v>
      </c>
      <c r="E193" s="417">
        <f>'Cost Share'!E126+'Cost Share'!E131+'Cost Share'!E135+'Cost Share'!E153</f>
        <v>0</v>
      </c>
      <c r="F193" s="417">
        <f>'Cost Share'!F126+'Cost Share'!F131+'Cost Share'!F135+'Cost Share'!F153</f>
        <v>0</v>
      </c>
      <c r="G193" s="416">
        <f>SUM(B193:F193)</f>
        <v>0</v>
      </c>
      <c r="P193" s="292"/>
      <c r="Q193" s="292"/>
      <c r="U193" s="116"/>
      <c r="V193" s="116"/>
      <c r="W193" s="116"/>
    </row>
    <row r="194" spans="1:23" ht="21.75" customHeight="1" x14ac:dyDescent="0.2">
      <c r="A194" s="122" t="s">
        <v>108</v>
      </c>
      <c r="B194" s="418">
        <f>SUM(B191:B193)</f>
        <v>0</v>
      </c>
      <c r="C194" s="418">
        <f>SUM(C191:C193)</f>
        <v>0</v>
      </c>
      <c r="D194" s="418">
        <f>SUM(D191:D193)</f>
        <v>0</v>
      </c>
      <c r="E194" s="418">
        <f>SUM(E191:E193)</f>
        <v>0</v>
      </c>
      <c r="F194" s="418">
        <f>SUM(F191:F193)</f>
        <v>0</v>
      </c>
      <c r="G194" s="419">
        <f>SUM(B194:F194)</f>
        <v>0</v>
      </c>
      <c r="I194" s="323"/>
      <c r="P194" s="292"/>
      <c r="Q194" s="292"/>
      <c r="U194" s="116"/>
      <c r="V194" s="116"/>
      <c r="W194" s="116"/>
    </row>
    <row r="195" spans="1:23" ht="16.5" thickBot="1" x14ac:dyDescent="0.25">
      <c r="P195" s="292"/>
      <c r="Q195" s="292"/>
      <c r="U195" s="116"/>
      <c r="V195" s="116"/>
      <c r="W195" s="116"/>
    </row>
    <row r="196" spans="1:23" ht="45" customHeight="1" thickBot="1" x14ac:dyDescent="0.25">
      <c r="A196" s="459" t="s">
        <v>57</v>
      </c>
      <c r="B196" s="460"/>
      <c r="C196" s="460"/>
      <c r="D196" s="460"/>
      <c r="E196" s="460"/>
      <c r="F196" s="460"/>
      <c r="G196" s="461"/>
      <c r="P196" s="292"/>
      <c r="Q196" s="292"/>
      <c r="U196" s="116"/>
      <c r="V196" s="116"/>
      <c r="W196" s="116"/>
    </row>
    <row r="199" spans="1:23" x14ac:dyDescent="0.2">
      <c r="A199" s="420"/>
      <c r="U199" s="116"/>
      <c r="V199" s="116"/>
      <c r="W199" s="116"/>
    </row>
  </sheetData>
  <sheetProtection formatCells="0" formatColumns="0" formatRows="0" insertRows="0" deleteColumns="0" deleteRows="0" selectLockedCells="1" sort="0"/>
  <mergeCells count="21">
    <mergeCell ref="Y1:Z1"/>
    <mergeCell ref="I1:O2"/>
    <mergeCell ref="A1:G2"/>
    <mergeCell ref="A10:A11"/>
    <mergeCell ref="A15:A16"/>
    <mergeCell ref="A3:G3"/>
    <mergeCell ref="A196:G196"/>
    <mergeCell ref="A25:A26"/>
    <mergeCell ref="A30:A31"/>
    <mergeCell ref="A35:A36"/>
    <mergeCell ref="A87:A88"/>
    <mergeCell ref="A93:A94"/>
    <mergeCell ref="A99:A100"/>
    <mergeCell ref="A40:A41"/>
    <mergeCell ref="A45:A46"/>
    <mergeCell ref="A50:A51"/>
    <mergeCell ref="J180:N180"/>
    <mergeCell ref="A20:A21"/>
    <mergeCell ref="A55:A56"/>
    <mergeCell ref="A60:A61"/>
    <mergeCell ref="A65:A66"/>
  </mergeCells>
  <phoneticPr fontId="2" type="noConversion"/>
  <conditionalFormatting sqref="B159:G159">
    <cfRule type="cellIs" dxfId="1" priority="1" operator="greaterThan">
      <formula>0</formula>
    </cfRule>
  </conditionalFormatting>
  <dataValidations count="4">
    <dataValidation type="list" allowBlank="1" showInputMessage="1" showErrorMessage="1" sqref="U32 U95 U22 U12 U27 U17 Z3 U89 U37 U62 U52 U42 U57 U47 U67:U68 U101" xr:uid="{00000000-0002-0000-0200-000001000000}">
      <formula1>$Q$4:$Q$5</formula1>
    </dataValidation>
    <dataValidation type="list" allowBlank="1" showInputMessage="1" showErrorMessage="1" sqref="V12 V83 V22 V27 V32 V101 V71:V72 V109 V79:V80 V75:V76 V89 V67:V68 V95 V17 V105 V37 V42 V52 V57 V62 V47 V113" xr:uid="{00000000-0002-0000-0200-000002000000}">
      <formula1>$J$117:$J$120</formula1>
    </dataValidation>
    <dataValidation type="list" allowBlank="1" showInputMessage="1" showErrorMessage="1" sqref="J185" xr:uid="{00000000-0002-0000-0200-000000000000}">
      <formula1>$Q$175:$Q$187</formula1>
    </dataValidation>
    <dataValidation type="list" allowBlank="1" showInputMessage="1" showErrorMessage="1" sqref="L178:L179 J175" xr:uid="{0BD5A5A4-9B1A-4409-864E-C42E66C78505}">
      <formula1>$Q$175:$Q$177</formula1>
    </dataValidation>
  </dataValidations>
  <hyperlinks>
    <hyperlink ref="T3" r:id="rId1" xr:uid="{00000000-0004-0000-0200-000002000000}"/>
    <hyperlink ref="T4" r:id="rId2" xr:uid="{00000000-0004-0000-0200-000000000000}"/>
    <hyperlink ref="AB1" r:id="rId3" xr:uid="{F9E16C6C-F61A-46E4-AC44-ABCDAD6D55B8}"/>
  </hyperlinks>
  <printOptions horizontalCentered="1"/>
  <pageMargins left="0.5" right="0.5" top="0.5" bottom="0.5" header="0.25" footer="0.25"/>
  <pageSetup scale="34" orientation="portrait" r:id="rId4"/>
  <headerFooter scaleWithDoc="0"/>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134"/>
  <sheetViews>
    <sheetView zoomScale="80" zoomScaleNormal="80" workbookViewId="0">
      <pane ySplit="5" topLeftCell="A6" activePane="bottomLeft" state="frozen"/>
      <selection activeCell="O39" sqref="O39"/>
      <selection pane="bottomLeft"/>
    </sheetView>
  </sheetViews>
  <sheetFormatPr defaultColWidth="8.7109375" defaultRowHeight="15.75" outlineLevelRow="1" x14ac:dyDescent="0.25"/>
  <cols>
    <col min="1" max="1" width="55.7109375" style="12" customWidth="1"/>
    <col min="2" max="6" width="13.7109375" style="12" customWidth="1"/>
    <col min="7" max="7" width="14.7109375" style="189" customWidth="1"/>
    <col min="8" max="8" width="2.7109375" style="189" customWidth="1"/>
    <col min="9" max="9" width="33" style="12" customWidth="1"/>
    <col min="10" max="14" width="11.7109375" style="12" customWidth="1"/>
    <col min="15" max="15" width="14.42578125" style="1" bestFit="1" customWidth="1"/>
    <col min="16" max="16" width="15" style="12" hidden="1" customWidth="1"/>
    <col min="17" max="17" width="8.7109375" style="12" hidden="1" customWidth="1"/>
    <col min="18" max="18" width="8.7109375" style="94" hidden="1" customWidth="1"/>
    <col min="19" max="19" width="3.42578125" style="94" customWidth="1"/>
    <col min="20" max="20" width="28.42578125" style="94" bestFit="1" customWidth="1"/>
    <col min="21" max="21" width="12.7109375" style="12" customWidth="1"/>
    <col min="22" max="22" width="12" style="12" bestFit="1" customWidth="1"/>
    <col min="23" max="16384" width="8.7109375" style="12"/>
  </cols>
  <sheetData>
    <row r="1" spans="1:23" s="189" customFormat="1" ht="40.35" customHeight="1" x14ac:dyDescent="0.3">
      <c r="A1" s="48"/>
      <c r="B1" s="12"/>
      <c r="G1" s="190"/>
      <c r="I1" s="496" t="s">
        <v>18</v>
      </c>
      <c r="J1" s="497"/>
      <c r="K1" s="497"/>
      <c r="L1" s="497"/>
      <c r="M1" s="497"/>
      <c r="N1" s="497"/>
      <c r="O1" s="498"/>
      <c r="U1" s="191"/>
      <c r="V1" s="191"/>
    </row>
    <row r="2" spans="1:23" s="189" customFormat="1" x14ac:dyDescent="0.25">
      <c r="A2" s="499" t="s">
        <v>166</v>
      </c>
      <c r="B2" s="499"/>
      <c r="C2" s="499"/>
      <c r="D2" s="499"/>
      <c r="E2" s="499"/>
      <c r="F2" s="499"/>
      <c r="G2" s="499"/>
      <c r="I2" s="32"/>
      <c r="J2" s="192" t="s">
        <v>28</v>
      </c>
      <c r="K2" s="192"/>
      <c r="L2" s="192"/>
      <c r="M2" s="192"/>
      <c r="N2" s="192"/>
      <c r="O2" s="51" t="s">
        <v>29</v>
      </c>
      <c r="P2" s="12">
        <f>IF(MONTH(J3)&gt;6, 12+7-MONTH(J3), 7-MONTH(J3))</f>
        <v>12</v>
      </c>
      <c r="R2" s="189" t="s">
        <v>125</v>
      </c>
      <c r="T2" s="193" t="s">
        <v>152</v>
      </c>
      <c r="U2" s="194">
        <f>Budget!U1</f>
        <v>0</v>
      </c>
    </row>
    <row r="3" spans="1:23" x14ac:dyDescent="0.25">
      <c r="A3" s="195" t="str">
        <f>"Period of Performance: "&amp;TEXT(J3, "mm/dd/yy")&amp;" - "&amp;TEXT(O3, "mm/dd/yy")&amp;" ["&amp;ROUND(J5,2)&amp; " Year(s)]"</f>
        <v>Period of Performance: 07/01/24 - 01/00/00 [124.5 Year(s)]</v>
      </c>
      <c r="B3" s="196"/>
      <c r="C3" s="196"/>
      <c r="D3" s="196"/>
      <c r="E3" s="196"/>
      <c r="F3" s="196"/>
      <c r="G3" s="195"/>
      <c r="I3" s="197" t="s">
        <v>52</v>
      </c>
      <c r="J3" s="39">
        <f>Budget!J4</f>
        <v>45474</v>
      </c>
      <c r="K3" s="39"/>
      <c r="L3" s="39"/>
      <c r="M3" s="39"/>
      <c r="N3" s="39"/>
      <c r="O3" s="40">
        <f>Budget!O4</f>
        <v>0</v>
      </c>
      <c r="P3" s="12">
        <f>IF(DAY(J3)&gt;1,(P2-1+((DAY(DATE(YEAR(J3),MONTH(J3)+1,0))-DAY(J3))/DAY(DATE(YEAR(J3),MONTH(J3)+1,0)))),P2)</f>
        <v>12</v>
      </c>
      <c r="R3" s="12" t="s">
        <v>123</v>
      </c>
      <c r="S3" s="12"/>
      <c r="T3" s="161" t="s">
        <v>148</v>
      </c>
      <c r="U3" s="252"/>
      <c r="V3" s="253"/>
      <c r="W3" s="184" t="s">
        <v>161</v>
      </c>
    </row>
    <row r="4" spans="1:23" x14ac:dyDescent="0.25">
      <c r="A4" s="500" t="s">
        <v>150</v>
      </c>
      <c r="B4" s="500"/>
      <c r="C4" s="500"/>
      <c r="D4" s="500"/>
      <c r="E4" s="500"/>
      <c r="F4" s="500"/>
      <c r="G4" s="500"/>
      <c r="I4" s="198"/>
      <c r="J4" s="191" t="s">
        <v>80</v>
      </c>
      <c r="K4" s="191"/>
      <c r="L4" s="191"/>
      <c r="M4" s="191"/>
      <c r="N4" s="191"/>
      <c r="O4" s="49" t="s">
        <v>14</v>
      </c>
      <c r="P4" s="12">
        <f>IF(O3-J3&lt;366, P3/((YEAR(O3)-YEAR(J3))*12+MONTH(O3)-MONTH(J3)+1),0)</f>
        <v>-8.0375083724045539E-3</v>
      </c>
      <c r="R4" s="12" t="s">
        <v>124</v>
      </c>
      <c r="S4" s="12"/>
      <c r="T4" s="191" t="s">
        <v>81</v>
      </c>
      <c r="U4" s="191" t="s">
        <v>82</v>
      </c>
      <c r="V4" s="191" t="s">
        <v>86</v>
      </c>
    </row>
    <row r="5" spans="1:23" s="191" customFormat="1" x14ac:dyDescent="0.25">
      <c r="B5" s="199" t="s">
        <v>6</v>
      </c>
      <c r="C5" s="200" t="s">
        <v>5</v>
      </c>
      <c r="D5" s="200" t="s">
        <v>7</v>
      </c>
      <c r="E5" s="200" t="s">
        <v>8</v>
      </c>
      <c r="F5" s="200" t="s">
        <v>9</v>
      </c>
      <c r="G5" s="200" t="s">
        <v>10</v>
      </c>
      <c r="I5" s="201"/>
      <c r="J5" s="202">
        <f>YEARFRAC(J3, O3)</f>
        <v>124.50277777777778</v>
      </c>
      <c r="K5" s="202"/>
      <c r="L5" s="202"/>
      <c r="M5" s="202"/>
      <c r="N5" s="202"/>
      <c r="O5" s="41">
        <v>0</v>
      </c>
      <c r="T5" s="191" t="s">
        <v>51</v>
      </c>
      <c r="U5" s="191" t="s">
        <v>83</v>
      </c>
      <c r="V5" s="191" t="s">
        <v>122</v>
      </c>
    </row>
    <row r="6" spans="1:23" s="189" customFormat="1" x14ac:dyDescent="0.25">
      <c r="A6" s="195" t="s">
        <v>3</v>
      </c>
      <c r="B6" s="203"/>
      <c r="C6" s="203"/>
      <c r="D6" s="203"/>
      <c r="E6" s="203"/>
      <c r="F6" s="203"/>
      <c r="G6" s="203"/>
      <c r="I6" s="198"/>
      <c r="J6" s="191" t="s">
        <v>6</v>
      </c>
      <c r="K6" s="191" t="s">
        <v>5</v>
      </c>
      <c r="L6" s="191" t="s">
        <v>7</v>
      </c>
      <c r="M6" s="191" t="s">
        <v>8</v>
      </c>
      <c r="N6" s="191" t="s">
        <v>9</v>
      </c>
      <c r="O6" s="10"/>
      <c r="T6" s="204"/>
      <c r="U6" s="191"/>
      <c r="V6" s="191"/>
    </row>
    <row r="7" spans="1:23" outlineLevel="1" x14ac:dyDescent="0.25">
      <c r="A7" s="205" t="s">
        <v>84</v>
      </c>
      <c r="B7" s="55"/>
      <c r="C7" s="206"/>
      <c r="D7" s="206"/>
      <c r="E7" s="206"/>
      <c r="F7" s="206"/>
      <c r="G7" s="203"/>
      <c r="I7" s="207" t="s">
        <v>128</v>
      </c>
      <c r="J7" s="191">
        <f>IF(U11="F",J8*12,SUM(J9*9,J10))</f>
        <v>0</v>
      </c>
      <c r="K7" s="191">
        <f>IF(U11="F",K8*12,SUM(K9*9,K10))</f>
        <v>0</v>
      </c>
      <c r="L7" s="191">
        <f>IF(U11="F",L8*12,SUM(L9*9,L10))</f>
        <v>0</v>
      </c>
      <c r="M7" s="191">
        <f>IF(U11="F",M8*12,SUM(M9*9,M10))</f>
        <v>0</v>
      </c>
      <c r="N7" s="191">
        <f>IF(U11="F",N8*12,SUM(N9*9,N10))</f>
        <v>0</v>
      </c>
      <c r="O7" s="49" t="s">
        <v>51</v>
      </c>
      <c r="P7" s="153" t="s">
        <v>126</v>
      </c>
      <c r="Q7" s="153" t="s">
        <v>127</v>
      </c>
      <c r="R7" s="11"/>
      <c r="S7" s="12"/>
      <c r="T7" s="208"/>
      <c r="U7" s="94"/>
      <c r="V7" s="94"/>
    </row>
    <row r="8" spans="1:23" outlineLevel="1" x14ac:dyDescent="0.25">
      <c r="A8" s="209" t="str">
        <f>ROUND(P8*100, 2)&amp;"% Avg. Fiscal Effort, "&amp;ROUND(Q8, 2)&amp;" Avg. Calendar Months"</f>
        <v>0% Avg. Fiscal Effort, 0 Avg. Calendar Months</v>
      </c>
      <c r="B8" s="55">
        <f>O8*J8</f>
        <v>0</v>
      </c>
      <c r="C8" s="55">
        <f>IF($J$5&gt;1,IF($U$2&lt;&gt;0,IF(O8*(1+$O$5)&lt;=$U$2,O8*K8*(1+$O$5),$U$2*K8),O8*K8*(1+$O$5)),0)</f>
        <v>0</v>
      </c>
      <c r="D8" s="55">
        <f>IF($J$5&gt;2,IF($U$2&lt;&gt;0,IF(O8*(1+$O$5)^2&lt;=$U$2,O8*L8*(1+$O$5)^2,$U$2*L8),O8*L8*(1+$O$5)^2),0)</f>
        <v>0</v>
      </c>
      <c r="E8" s="55">
        <f>IF($J$5&gt;3,IF($U$2&lt;&gt;0,IF(O8*(1+$O$5)^3&lt;=$U$2,O8*M8*(1+$O$5)^3,$U$2*M8),O8*M8*(1+$O$5)^3),0)</f>
        <v>0</v>
      </c>
      <c r="F8" s="55">
        <f>IF($J$5&gt;4,IF($U$2&lt;&gt;0,IF(O8*(1+$O$5)^4&lt;=$U$2,O8*N8*(1+$O$5)^4,$U$2*N8),O8*N8*(1+$O$5)^4),0)</f>
        <v>0</v>
      </c>
      <c r="G8" s="203">
        <f>SUM(B8:F8)</f>
        <v>0</v>
      </c>
      <c r="H8" s="210"/>
      <c r="I8" s="207" t="s">
        <v>26</v>
      </c>
      <c r="J8" s="17">
        <v>0</v>
      </c>
      <c r="K8" s="17">
        <f>IF($J$5&gt;1,J8,0)</f>
        <v>0</v>
      </c>
      <c r="L8" s="17">
        <f>IF($J$5&gt;2,K8,0)</f>
        <v>0</v>
      </c>
      <c r="M8" s="17">
        <f>IF($J$5&gt;3,L8,0)</f>
        <v>0</v>
      </c>
      <c r="N8" s="17">
        <f>IF($J$5&gt;4,M8,0)</f>
        <v>0</v>
      </c>
      <c r="O8" s="145">
        <f>IF(U11="F",IF($U$2&lt;&gt;0,IF(T11&gt;$U$2,$U$2,T11),T11),0)</f>
        <v>0</v>
      </c>
      <c r="P8" s="157">
        <f>SUM(J7:N7)/(ROUNDUP($J$5,0)*12)</f>
        <v>0</v>
      </c>
      <c r="Q8" s="156">
        <f>(SUM(J7:N7)/(CEILING($J$5*12,12)))*12</f>
        <v>0</v>
      </c>
      <c r="R8" s="12"/>
      <c r="S8" s="12"/>
      <c r="T8" s="208"/>
      <c r="U8" s="94"/>
      <c r="V8" s="94"/>
    </row>
    <row r="9" spans="1:23" outlineLevel="1" x14ac:dyDescent="0.25">
      <c r="A9" s="495" t="str">
        <f>ROUND(P8*100,2)&amp;"% Annualized Effort, "&amp;ROUND(Q9,2)&amp;" Avg. Academic Months
"&amp;IF(SUM(J10:N10)&gt;0," and "&amp;Q10 &amp;" Avg. Summer Months", "")</f>
        <v xml:space="preserve">0% Annualized Effort, 0 Avg. Academic Months
</v>
      </c>
      <c r="B9" s="55">
        <f>J9*O9</f>
        <v>0</v>
      </c>
      <c r="C9" s="55">
        <f>IF($J$5&gt;1,IF($U$2&lt;&gt;0,IF(O9*(1+$O$5)&lt;=$U$2*0.75,O9*K9*(1+$O$5),$U$2*0.75*K9),O9*K9*(1+$O$5)),0)</f>
        <v>0</v>
      </c>
      <c r="D9" s="55">
        <f>IF($J$5&gt;2,IF($U$2&lt;&gt;0,IF(O9*(1+$O$5)^2&lt;=$U$2*0.75,O9*L9*(1+$O$5)^2,$U$2*0.75*L9),O9*L9*(1+$O$5)^2),0)</f>
        <v>0</v>
      </c>
      <c r="E9" s="55">
        <f>IF($J$5&gt;3,IF($U$2&lt;&gt;0,IF(O9*(1+$O$5)^3&lt;=$U$2*0.75,O9*M9*(1+$O$5)^3,$U$2*0.75*M9),O9*M9*(1+$O$5)^3),0)</f>
        <v>0</v>
      </c>
      <c r="F9" s="55">
        <f>IF($J$5&gt;4,IF($U$2&lt;&gt;0,IF(O9*(1+$O$5)^4&lt;=$U$2*0.75,O9*N9*(1+$O$5)^4,$U$2*0.75*N9),O9*N9*(1+$O$5)^4),0)</f>
        <v>0</v>
      </c>
      <c r="G9" s="203">
        <f>SUM(B9:F9)</f>
        <v>0</v>
      </c>
      <c r="H9" s="210"/>
      <c r="I9" s="207" t="s">
        <v>15</v>
      </c>
      <c r="J9" s="17">
        <v>0</v>
      </c>
      <c r="K9" s="17">
        <f>IF($J$5&gt;1,J9,0)</f>
        <v>0</v>
      </c>
      <c r="L9" s="17">
        <f>IF($J$5&gt;2,K9,0)</f>
        <v>0</v>
      </c>
      <c r="M9" s="17">
        <f>IF($J$5&gt;3,L9,0)</f>
        <v>0</v>
      </c>
      <c r="N9" s="17">
        <f>IF($J$5&gt;4,M9,0)</f>
        <v>0</v>
      </c>
      <c r="O9" s="145">
        <f>IF(U11="A",IF($U$2&lt;&gt;0,IF(T11&gt;($U$2/12*9),($U$2/12*9),T11),T11),0)</f>
        <v>0</v>
      </c>
      <c r="P9" s="211"/>
      <c r="Q9" s="156">
        <f>((SUM(J7:N7)-SUM(J10:N10))/(CEILING($J$5*9,9)))*9</f>
        <v>0</v>
      </c>
      <c r="R9" s="12"/>
      <c r="S9" s="12"/>
      <c r="T9" s="208"/>
      <c r="U9" s="94"/>
      <c r="V9" s="94"/>
    </row>
    <row r="10" spans="1:23" outlineLevel="1" x14ac:dyDescent="0.25">
      <c r="A10" s="495"/>
      <c r="B10" s="55">
        <f>J10/3*O10</f>
        <v>0</v>
      </c>
      <c r="C10" s="55">
        <f>IF($J$5&gt;1,IF($U$2&lt;&gt;0,IF(O10*(1+$O$5)&lt;=$U$2*0.25,O10*K10/3*(1+$O$5),$U$2*0.25*K10/3),O10*K10/3*(1+$O$5)),0)</f>
        <v>0</v>
      </c>
      <c r="D10" s="55">
        <f>IF($J$5&gt;2,IF($U$2&lt;&gt;0,IF(O10*(1+$O$5)^2&lt;=$U$2*0.25,O10*L10/3*(1+$O$5)^2,$U$2*0.25*L10/3),O10*L10/3*(1+$O$5)^2),0)</f>
        <v>0</v>
      </c>
      <c r="E10" s="55">
        <f>IF($J$5&gt;3,IF($U$2&lt;&gt;0,IF(O10*(1+$O$5)^3&lt;=$U$2*0.25,O10*M10/3*(1+$O$5)^3,$U$2*0.25*M10/3),O10*M10/3*(1+$O$5)^3),0)</f>
        <v>0</v>
      </c>
      <c r="F10" s="55">
        <f>IF($J$5&gt;4,IF($U$2&lt;&gt;0,IF(O10*(1+$O$5)^4&lt;=$U$2*0.25,O10*N10/3*(1+$O$5)^4,$U$2*0.25*N10/3),O10*N10/3*(1+$O$5)^4),0)</f>
        <v>0</v>
      </c>
      <c r="G10" s="203">
        <f>SUM(B10:F10)</f>
        <v>0</v>
      </c>
      <c r="H10" s="210"/>
      <c r="I10" s="207" t="s">
        <v>17</v>
      </c>
      <c r="J10" s="16">
        <v>0</v>
      </c>
      <c r="K10" s="16">
        <f>IF($J$5&gt;1,J10,0)</f>
        <v>0</v>
      </c>
      <c r="L10" s="16">
        <f>IF($J$5&gt;2,K10,0)</f>
        <v>0</v>
      </c>
      <c r="M10" s="16">
        <f>IF($J$5&gt;3,L10,0)</f>
        <v>0</v>
      </c>
      <c r="N10" s="16">
        <f>IF($J$5&gt;4,M10,0)</f>
        <v>0</v>
      </c>
      <c r="O10" s="145">
        <f>IF(U11="A",IF($U$2&lt;&gt;0,IF(T11/9*3&gt;($U$2/12*3),($U$2/12*3),T11/9*3),T11/9*3),0)</f>
        <v>0</v>
      </c>
      <c r="P10" s="157"/>
      <c r="Q10" s="157">
        <f>((SUM(J7:N7)-SUM(J9:N9)*9)/(CEILING($J$5*3,3)))*3</f>
        <v>0</v>
      </c>
      <c r="R10" s="12"/>
      <c r="S10" s="12"/>
      <c r="T10" s="12"/>
      <c r="U10" s="94"/>
      <c r="V10" s="94"/>
    </row>
    <row r="11" spans="1:23" outlineLevel="1" x14ac:dyDescent="0.25">
      <c r="A11" s="212"/>
      <c r="B11" s="55"/>
      <c r="C11" s="55"/>
      <c r="D11" s="206"/>
      <c r="E11" s="206"/>
      <c r="F11" s="206"/>
      <c r="G11" s="213"/>
      <c r="H11" s="214"/>
      <c r="I11" s="207" t="s">
        <v>109</v>
      </c>
      <c r="J11" s="147">
        <f>SUM(B8:B10)*$V11</f>
        <v>0</v>
      </c>
      <c r="K11" s="147">
        <f>SUM(C8:C10)*$V11</f>
        <v>0</v>
      </c>
      <c r="L11" s="147">
        <f>SUM(D8:D10)*$V11</f>
        <v>0</v>
      </c>
      <c r="M11" s="147">
        <f>SUM(E8:E10)*$V11</f>
        <v>0</v>
      </c>
      <c r="N11" s="147">
        <f>SUM(F8:F10)*$V11</f>
        <v>0</v>
      </c>
      <c r="O11" s="146"/>
      <c r="P11" s="157"/>
      <c r="Q11" s="157"/>
      <c r="R11" s="12"/>
      <c r="S11" s="12"/>
      <c r="T11" s="215">
        <v>0</v>
      </c>
      <c r="U11" s="216"/>
      <c r="V11" s="217">
        <f>$J$79</f>
        <v>0</v>
      </c>
    </row>
    <row r="12" spans="1:23" outlineLevel="1" x14ac:dyDescent="0.25">
      <c r="A12" s="212"/>
      <c r="B12" s="55"/>
      <c r="C12" s="55"/>
      <c r="D12" s="206"/>
      <c r="E12" s="206"/>
      <c r="F12" s="206"/>
      <c r="G12" s="213"/>
      <c r="H12" s="214"/>
      <c r="I12" s="218"/>
      <c r="J12" s="91"/>
      <c r="K12" s="91"/>
      <c r="L12" s="91"/>
      <c r="M12" s="91"/>
      <c r="N12" s="91"/>
      <c r="O12" s="22"/>
      <c r="P12" s="157"/>
      <c r="Q12" s="157"/>
      <c r="R12" s="12"/>
      <c r="S12" s="12"/>
      <c r="T12" s="208"/>
      <c r="U12" s="94"/>
      <c r="V12" s="94"/>
    </row>
    <row r="13" spans="1:23" outlineLevel="1" x14ac:dyDescent="0.25">
      <c r="A13" s="205" t="s">
        <v>84</v>
      </c>
      <c r="B13" s="55"/>
      <c r="C13" s="206"/>
      <c r="D13" s="206"/>
      <c r="E13" s="206"/>
      <c r="F13" s="206"/>
      <c r="G13" s="203"/>
      <c r="I13" s="207" t="s">
        <v>128</v>
      </c>
      <c r="J13" s="5">
        <f>IF(U17="F",J14*12,SUM(J15*9,J16))</f>
        <v>0</v>
      </c>
      <c r="K13" s="5">
        <f>IF(U17="F",K14*12,SUM(K15*9,K16))</f>
        <v>0</v>
      </c>
      <c r="L13" s="5">
        <f>IF(U17="F",L14*12,SUM(L15*9,L16))</f>
        <v>0</v>
      </c>
      <c r="M13" s="5">
        <f>IF(U17="F",M14*12,SUM(M15*9,M16))</f>
        <v>0</v>
      </c>
      <c r="N13" s="5">
        <f>IF(U17="F",N14*12,SUM(N15*9,N16))</f>
        <v>0</v>
      </c>
      <c r="O13" s="49" t="s">
        <v>51</v>
      </c>
      <c r="P13" s="153" t="s">
        <v>126</v>
      </c>
      <c r="Q13" s="153" t="s">
        <v>127</v>
      </c>
      <c r="R13" s="11"/>
      <c r="S13" s="12"/>
      <c r="T13" s="208"/>
      <c r="U13" s="94"/>
      <c r="V13" s="94"/>
    </row>
    <row r="14" spans="1:23" ht="15.75" customHeight="1" outlineLevel="1" x14ac:dyDescent="0.25">
      <c r="A14" s="209" t="str">
        <f>ROUND(P14*100, 2)&amp;"% Avg. Fiscal Effort, "&amp;ROUND(Q14, 2)&amp;" Avg. Calendar Months"</f>
        <v>0% Avg. Fiscal Effort, 0 Avg. Calendar Months</v>
      </c>
      <c r="B14" s="55">
        <f>O14*J14</f>
        <v>0</v>
      </c>
      <c r="C14" s="55">
        <f>IF($J$5&gt;1,IF($U$2&lt;&gt;0,IF(O14*(1+$O$5)&lt;=$U$2,O14*K14*(1+$O$5),$U$2*K14),O14*K14*(1+$O$5)),0)</f>
        <v>0</v>
      </c>
      <c r="D14" s="55">
        <f>IF($J$5&gt;2,IF($U$2&lt;&gt;0,IF(O14*(1+$O$5)^2&lt;=$U$2,O14*L14*(1+$O$5)^2,$U$2*L14),O14*L14*(1+$O$5)^2),0)</f>
        <v>0</v>
      </c>
      <c r="E14" s="55">
        <f>IF($J$5&gt;3,IF($U$2&lt;&gt;0,IF(O14*(1+$O$5)^3&lt;=$U$2,O14*M14*(1+$O$5)^3,$U$2*M14),O14*M14*(1+$O$5)^3),0)</f>
        <v>0</v>
      </c>
      <c r="F14" s="55">
        <f>IF($J$5&gt;4,IF($U$2&lt;&gt;0,IF(O14*(1+$O$5)^4&lt;=$U$2,O14*N14*(1+$O$5)^4,$U$2*N14),O14*N14*(1+$O$5)^4),0)</f>
        <v>0</v>
      </c>
      <c r="G14" s="203">
        <f>SUM(B14:F14)</f>
        <v>0</v>
      </c>
      <c r="H14" s="210"/>
      <c r="I14" s="207" t="s">
        <v>26</v>
      </c>
      <c r="J14" s="17">
        <v>0</v>
      </c>
      <c r="K14" s="17">
        <f>IF($J$5&gt;1,J14,0)</f>
        <v>0</v>
      </c>
      <c r="L14" s="17">
        <f>IF($J$5&gt;2,K14,0)</f>
        <v>0</v>
      </c>
      <c r="M14" s="17">
        <f>IF($J$5&gt;3,L14,0)</f>
        <v>0</v>
      </c>
      <c r="N14" s="17">
        <f>IF($J$5&gt;4,M14,0)</f>
        <v>0</v>
      </c>
      <c r="O14" s="145">
        <f>IF(U17="F",IF($U$2&lt;&gt;0,IF(T17&gt;$U$2,$U$2,T17),T17),0)</f>
        <v>0</v>
      </c>
      <c r="P14" s="157">
        <f>SUM(J13:N13)/(ROUNDUP($J$5,0)*12)</f>
        <v>0</v>
      </c>
      <c r="Q14" s="156">
        <f>(SUM(J13:N13)/(CEILING($J$5*12,12)))*12</f>
        <v>0</v>
      </c>
      <c r="R14" s="12"/>
      <c r="S14" s="12"/>
      <c r="T14" s="208"/>
      <c r="U14" s="94"/>
      <c r="V14" s="94"/>
    </row>
    <row r="15" spans="1:23" outlineLevel="1" x14ac:dyDescent="0.25">
      <c r="A15" s="495" t="str">
        <f>ROUND(P14*100,2)&amp;"% Annualized Effort, "&amp;ROUND(Q15,2)&amp;" Avg. Academic Months
"&amp;IF(SUM(J16:N16)&gt;0," and "&amp;Q16 &amp;" Avg. Summer Months", "")</f>
        <v xml:space="preserve">0% Annualized Effort, 0 Avg. Academic Months
</v>
      </c>
      <c r="B15" s="55">
        <f>J15*O15</f>
        <v>0</v>
      </c>
      <c r="C15" s="55">
        <f>IF($J$5&gt;1,IF($U$2&lt;&gt;0,IF(O15*(1+$O$5)&lt;=$U$2*0.75,O15*K15*(1+$O$5),$U$2*0.75*K15),O15*K15*(1+$O$5)),0)</f>
        <v>0</v>
      </c>
      <c r="D15" s="55">
        <f>IF($J$5&gt;2,IF($U$2&lt;&gt;0,IF(O15*(1+$O$5)^2&lt;=$U$2*0.75,O15*L15*(1+$O$5)^2,$U$2*0.75*L15),O15*L15*(1+$O$5)^2),0)</f>
        <v>0</v>
      </c>
      <c r="E15" s="55">
        <f>IF($J$5&gt;3,IF($U$2&lt;&gt;0,IF(O15*(1+$O$5)^3&lt;=$U$2*0.75,O15*M15*(1+$O$5)^3,$U$2*0.75*M15),O15*M15*(1+$O$5)^3),0)</f>
        <v>0</v>
      </c>
      <c r="F15" s="55">
        <f>IF($J$5&gt;4,IF($U$2&lt;&gt;0,IF(O15*(1+$O$5)^4&lt;=$U$2*0.75,O15*N15*(1+$O$5)^4,$U$2*0.75*N15),O15*N15*(1+$O$5)^4),0)</f>
        <v>0</v>
      </c>
      <c r="G15" s="203">
        <f>SUM(B15:F15)</f>
        <v>0</v>
      </c>
      <c r="H15" s="210"/>
      <c r="I15" s="207" t="s">
        <v>15</v>
      </c>
      <c r="J15" s="17">
        <v>0</v>
      </c>
      <c r="K15" s="17">
        <f>IF($J$5&gt;1,J15,0)</f>
        <v>0</v>
      </c>
      <c r="L15" s="17">
        <f>IF($J$5&gt;2,K15,0)</f>
        <v>0</v>
      </c>
      <c r="M15" s="17">
        <f>IF($J$5&gt;3,L15,0)</f>
        <v>0</v>
      </c>
      <c r="N15" s="17">
        <f>IF($J$5&gt;4,M15,0)</f>
        <v>0</v>
      </c>
      <c r="O15" s="145">
        <f>IF(U17="A",IF($U$2&lt;&gt;0,IF(T17&gt;($U$2/12*9),($U$2/12*9),T17),T17),0)</f>
        <v>0</v>
      </c>
      <c r="P15" s="211"/>
      <c r="Q15" s="156">
        <f>((SUM(J13:N13)-SUM(J16:N16))/(CEILING($J$5*9,9)))*9</f>
        <v>0</v>
      </c>
      <c r="R15" s="12"/>
      <c r="S15" s="12"/>
      <c r="T15" s="208"/>
      <c r="U15" s="94"/>
      <c r="V15" s="94"/>
    </row>
    <row r="16" spans="1:23" outlineLevel="1" x14ac:dyDescent="0.25">
      <c r="A16" s="495"/>
      <c r="B16" s="55">
        <f>J16/3*O16</f>
        <v>0</v>
      </c>
      <c r="C16" s="55">
        <f>IF($J$5&gt;1,IF($U$2&lt;&gt;0,IF(O16*(1+$O$5)&lt;=$U$2*0.25,O16*K16/3*(1+$O$5),$U$2*0.25*K16/3),O16*K16/3*(1+$O$5)),0)</f>
        <v>0</v>
      </c>
      <c r="D16" s="55">
        <f>IF($J$5&gt;2,IF($U$2&lt;&gt;0,IF(O16*(1+$O$5)^2&lt;=$U$2*0.25,O16*L16/3*(1+$O$5)^2,$U$2*0.25*L16/3),O16*L16/3*(1+$O$5)^2),0)</f>
        <v>0</v>
      </c>
      <c r="E16" s="55">
        <f>IF($J$5&gt;3,IF($U$2&lt;&gt;0,IF(O16*(1+$O$5)^3&lt;=$U$2*0.25,O16*M16/3*(1+$O$5)^3,$U$2*0.25*M16/3),O16*M16/3*(1+$O$5)^3),0)</f>
        <v>0</v>
      </c>
      <c r="F16" s="55">
        <f>IF($J$5&gt;4,IF($U$2&lt;&gt;0,IF(O16*(1+$O$5)^4&lt;=$U$2*0.25,O16*N16/3*(1+$O$5)^4,$U$2*0.25*N16/3),O16*N16/3*(1+$O$5)^4),0)</f>
        <v>0</v>
      </c>
      <c r="G16" s="203">
        <f>SUM(B16:F16)</f>
        <v>0</v>
      </c>
      <c r="H16" s="210"/>
      <c r="I16" s="207" t="s">
        <v>17</v>
      </c>
      <c r="J16" s="16">
        <v>0</v>
      </c>
      <c r="K16" s="16">
        <f>IF($J$5&gt;1,J16,0)</f>
        <v>0</v>
      </c>
      <c r="L16" s="16">
        <f>IF($J$5&gt;2,K16,0)</f>
        <v>0</v>
      </c>
      <c r="M16" s="16">
        <f>IF($J$5&gt;3,L16,0)</f>
        <v>0</v>
      </c>
      <c r="N16" s="16">
        <f>IF($J$5&gt;4,M16,0)</f>
        <v>0</v>
      </c>
      <c r="O16" s="145">
        <f>IF(U17="A",IF($U$2&lt;&gt;0,IF(T17/9*3&gt;($U$2/12*3),($U$2/12*3),T17/9*3),T17/9*3),0)</f>
        <v>0</v>
      </c>
      <c r="P16" s="157"/>
      <c r="Q16" s="157">
        <f>((SUM(J13:N13)-SUM(J15:N15)*9)/(CEILING($J$5*3,3)))*3</f>
        <v>0</v>
      </c>
      <c r="R16" s="12"/>
      <c r="S16" s="12"/>
      <c r="T16" s="12"/>
      <c r="U16" s="94"/>
      <c r="V16" s="94"/>
    </row>
    <row r="17" spans="1:22" outlineLevel="1" x14ac:dyDescent="0.25">
      <c r="A17" s="212"/>
      <c r="B17" s="55"/>
      <c r="C17" s="55"/>
      <c r="D17" s="206"/>
      <c r="E17" s="206"/>
      <c r="F17" s="206"/>
      <c r="G17" s="213"/>
      <c r="H17" s="214"/>
      <c r="I17" s="207" t="s">
        <v>109</v>
      </c>
      <c r="J17" s="147">
        <f>SUM(B14:B16)*$V17</f>
        <v>0</v>
      </c>
      <c r="K17" s="147">
        <f>SUM(C14:C16)*$V17</f>
        <v>0</v>
      </c>
      <c r="L17" s="147">
        <f>SUM(D14:D16)*$V17</f>
        <v>0</v>
      </c>
      <c r="M17" s="147">
        <f>SUM(E14:E16)*$V17</f>
        <v>0</v>
      </c>
      <c r="N17" s="147">
        <f>SUM(F14:F16)*$V17</f>
        <v>0</v>
      </c>
      <c r="O17" s="146"/>
      <c r="P17" s="157"/>
      <c r="Q17" s="157"/>
      <c r="R17" s="12"/>
      <c r="S17" s="12"/>
      <c r="T17" s="215">
        <v>0</v>
      </c>
      <c r="U17" s="216"/>
      <c r="V17" s="217">
        <f>$J$79</f>
        <v>0</v>
      </c>
    </row>
    <row r="18" spans="1:22" outlineLevel="1" x14ac:dyDescent="0.25">
      <c r="A18" s="212"/>
      <c r="B18" s="55"/>
      <c r="C18" s="55"/>
      <c r="D18" s="206"/>
      <c r="E18" s="206"/>
      <c r="F18" s="206"/>
      <c r="G18" s="213"/>
      <c r="H18" s="214"/>
      <c r="I18" s="218"/>
      <c r="J18" s="91"/>
      <c r="K18" s="91"/>
      <c r="L18" s="91"/>
      <c r="M18" s="91"/>
      <c r="N18" s="91"/>
      <c r="O18" s="22"/>
      <c r="P18" s="157"/>
      <c r="Q18" s="157"/>
      <c r="R18" s="12"/>
      <c r="S18" s="12"/>
      <c r="T18" s="208"/>
      <c r="U18" s="94"/>
      <c r="V18" s="94"/>
    </row>
    <row r="19" spans="1:22" outlineLevel="1" x14ac:dyDescent="0.25">
      <c r="A19" s="205" t="s">
        <v>84</v>
      </c>
      <c r="B19" s="55"/>
      <c r="C19" s="206"/>
      <c r="D19" s="206"/>
      <c r="E19" s="206"/>
      <c r="F19" s="206"/>
      <c r="G19" s="203"/>
      <c r="I19" s="207" t="s">
        <v>128</v>
      </c>
      <c r="J19" s="5">
        <f>IF(U23="F",J20*12,SUM(J21*9,J22))</f>
        <v>0</v>
      </c>
      <c r="K19" s="5">
        <f>IF(U23="F",K20*12,SUM(K21*9,K22))</f>
        <v>0</v>
      </c>
      <c r="L19" s="5">
        <f>IF(U23="F",L20*12,SUM(L21*9,L22))</f>
        <v>0</v>
      </c>
      <c r="M19" s="5">
        <f>IF(U23="F",M20*12,SUM(M21*9,M22))</f>
        <v>0</v>
      </c>
      <c r="N19" s="5">
        <f>IF(U23="F",N20*12,SUM(N21*9,N22))</f>
        <v>0</v>
      </c>
      <c r="O19" s="49" t="s">
        <v>51</v>
      </c>
      <c r="P19" s="153" t="s">
        <v>126</v>
      </c>
      <c r="Q19" s="153" t="s">
        <v>127</v>
      </c>
      <c r="R19" s="11"/>
      <c r="S19" s="12"/>
      <c r="T19" s="208"/>
      <c r="U19" s="94"/>
      <c r="V19" s="94"/>
    </row>
    <row r="20" spans="1:22" outlineLevel="1" x14ac:dyDescent="0.25">
      <c r="A20" s="209" t="str">
        <f>ROUND(P20*100, 2)&amp;"% Avg. Fiscal Effort, "&amp;ROUND(Q20, 2)&amp;" Avg. Calendar Months"</f>
        <v>0% Avg. Fiscal Effort, 0 Avg. Calendar Months</v>
      </c>
      <c r="B20" s="55">
        <f>O20*J20</f>
        <v>0</v>
      </c>
      <c r="C20" s="55">
        <f>IF($J$5&gt;1,IF($U$2&lt;&gt;0,IF(O20*(1+$O$5)&lt;=$U$2,O20*K20*(1+$O$5),$U$2*K20),O20*K20*(1+$O$5)),0)</f>
        <v>0</v>
      </c>
      <c r="D20" s="55">
        <f>IF($J$5&gt;2,IF($U$2&lt;&gt;0,IF(O20*(1+$O$5)^2&lt;=$U$2,O20*L20*(1+$O$5)^2,$U$2*L20),O20*L20*(1+$O$5)^2),0)</f>
        <v>0</v>
      </c>
      <c r="E20" s="55">
        <f>IF($J$5&gt;3,IF($U$2&lt;&gt;0,IF(O20*(1+$O$5)^3&lt;=$U$2,O20*M20*(1+$O$5)^3,$U$2*M20),O20*M20*(1+$O$5)^3),0)</f>
        <v>0</v>
      </c>
      <c r="F20" s="55">
        <f>IF($J$5&gt;4,IF($U$2&lt;&gt;0,IF(O20*(1+$O$5)^4&lt;=$U$2,O20*N20*(1+$O$5)^4,$U$2*N20),O20*N20*(1+$O$5)^4),0)</f>
        <v>0</v>
      </c>
      <c r="G20" s="203">
        <f>SUM(B20:F20)</f>
        <v>0</v>
      </c>
      <c r="H20" s="210"/>
      <c r="I20" s="207" t="s">
        <v>26</v>
      </c>
      <c r="J20" s="17">
        <v>0</v>
      </c>
      <c r="K20" s="17">
        <f>IF($J$5&gt;1,J20,0)</f>
        <v>0</v>
      </c>
      <c r="L20" s="17">
        <f>IF($J$5&gt;2,K20,0)</f>
        <v>0</v>
      </c>
      <c r="M20" s="17">
        <f>IF($J$5&gt;3,L20,0)</f>
        <v>0</v>
      </c>
      <c r="N20" s="17">
        <f>IF($J$5&gt;4,M20,0)</f>
        <v>0</v>
      </c>
      <c r="O20" s="145">
        <f>IF(U23="F",IF($U$2&lt;&gt;0,IF(T23&gt;$U$2,$U$2,T23),T23),0)</f>
        <v>0</v>
      </c>
      <c r="P20" s="157">
        <f>SUM(J19:N19)/(ROUNDUP($J$5,0)*12)</f>
        <v>0</v>
      </c>
      <c r="Q20" s="156">
        <f>(SUM(J19:N19)/(CEILING($J$5*12,12)))*12</f>
        <v>0</v>
      </c>
      <c r="R20" s="12"/>
      <c r="S20" s="12"/>
      <c r="T20" s="208"/>
      <c r="U20" s="94"/>
      <c r="V20" s="94"/>
    </row>
    <row r="21" spans="1:22" outlineLevel="1" x14ac:dyDescent="0.25">
      <c r="A21" s="495" t="str">
        <f>ROUND(P20*100,2)&amp;"% Annualized Effort, "&amp;ROUND(Q21,2)&amp;" Avg. Academic Months
"&amp;IF(SUM(J22:N22)&gt;0," and "&amp;Q22 &amp;" Avg. Summer Months", "")</f>
        <v xml:space="preserve">0% Annualized Effort, 0 Avg. Academic Months
</v>
      </c>
      <c r="B21" s="55">
        <f>J21*O21</f>
        <v>0</v>
      </c>
      <c r="C21" s="55">
        <f>IF($J$5&gt;1,IF($U$2&lt;&gt;0,IF(O21*(1+$O$5)&lt;=$U$2*0.75,O21*K21*(1+$O$5),$U$2*0.75*K21),O21*K21*(1+$O$5)),0)</f>
        <v>0</v>
      </c>
      <c r="D21" s="55">
        <f>IF($J$5&gt;2,IF($U$2&lt;&gt;0,IF(O21*(1+$O$5)^2&lt;=$U$2*0.75,O21*L21*(1+$O$5)^2,$U$2*0.75*L21),O21*L21*(1+$O$5)^2),0)</f>
        <v>0</v>
      </c>
      <c r="E21" s="55">
        <f>IF($J$5&gt;3,IF($U$2&lt;&gt;0,IF(O21*(1+$O$5)^3&lt;=$U$2*0.75,O21*M21*(1+$O$5)^3,$U$2*0.75*M21),O21*M21*(1+$O$5)^3),0)</f>
        <v>0</v>
      </c>
      <c r="F21" s="55">
        <f>IF($J$5&gt;4,IF($U$2&lt;&gt;0,IF(O21*(1+$O$5)^4&lt;=$U$2*0.75,O21*N21*(1+$O$5)^4,$U$2*0.75*N21),O21*N21*(1+$O$5)^4),0)</f>
        <v>0</v>
      </c>
      <c r="G21" s="203">
        <f>SUM(B21:F21)</f>
        <v>0</v>
      </c>
      <c r="H21" s="210"/>
      <c r="I21" s="207" t="s">
        <v>15</v>
      </c>
      <c r="J21" s="17">
        <v>0</v>
      </c>
      <c r="K21" s="17">
        <f>IF($J$5&gt;1,J21,0)</f>
        <v>0</v>
      </c>
      <c r="L21" s="17">
        <f>IF($J$5&gt;2,K21,0)</f>
        <v>0</v>
      </c>
      <c r="M21" s="17">
        <f>IF($J$5&gt;3,L21,0)</f>
        <v>0</v>
      </c>
      <c r="N21" s="17">
        <f>IF($J$5&gt;4,M21,0)</f>
        <v>0</v>
      </c>
      <c r="O21" s="145">
        <f>IF(U23="A",IF($U$2&lt;&gt;0,IF(T23&gt;($U$2/12*9),($U$2/12*9),T23),T23),0)</f>
        <v>0</v>
      </c>
      <c r="P21" s="211"/>
      <c r="Q21" s="156">
        <f>((SUM(J19:N19)-SUM(J22:N22))/(CEILING($J$5*9,9)))*9</f>
        <v>0</v>
      </c>
      <c r="R21" s="12"/>
      <c r="S21" s="12"/>
      <c r="T21" s="208"/>
      <c r="U21" s="94"/>
      <c r="V21" s="94"/>
    </row>
    <row r="22" spans="1:22" outlineLevel="1" x14ac:dyDescent="0.25">
      <c r="A22" s="495"/>
      <c r="B22" s="55">
        <f>J22/3*O22</f>
        <v>0</v>
      </c>
      <c r="C22" s="55">
        <f>IF($J$5&gt;1,IF($U$2&lt;&gt;0,IF(O22*(1+$O$5)&lt;=$U$2*0.25,O22*K22/3*(1+$O$5),$U$2*0.25*K22/3),O22*K22/3*(1+$O$5)),0)</f>
        <v>0</v>
      </c>
      <c r="D22" s="55">
        <f>IF($J$5&gt;2,IF($U$2&lt;&gt;0,IF(O22*(1+$O$5)^2&lt;=$U$2*0.25,O22*L22/3*(1+$O$5)^2,$U$2*0.25*L22/3),O22*L22/3*(1+$O$5)^2),0)</f>
        <v>0</v>
      </c>
      <c r="E22" s="55">
        <f>IF($J$5&gt;3,IF($U$2&lt;&gt;0,IF(O22*(1+$O$5)^3&lt;=$U$2*0.25,O22*M22/3*(1+$O$5)^3,$U$2*0.25*M22/3),O22*M22/3*(1+$O$5)^3),0)</f>
        <v>0</v>
      </c>
      <c r="F22" s="55">
        <f>IF($J$5&gt;4,IF($U$2&lt;&gt;0,IF(O22*(1+$O$5)^4&lt;=$U$2*0.25,O22*N22/3*(1+$O$5)^4,$U$2*0.25*N22/3),O22*N22/3*(1+$O$5)^4),0)</f>
        <v>0</v>
      </c>
      <c r="G22" s="203">
        <f>SUM(B22:F22)</f>
        <v>0</v>
      </c>
      <c r="H22" s="210"/>
      <c r="I22" s="207" t="s">
        <v>17</v>
      </c>
      <c r="J22" s="16">
        <v>0</v>
      </c>
      <c r="K22" s="16">
        <f>IF($J$5&gt;1,J22,0)</f>
        <v>0</v>
      </c>
      <c r="L22" s="16">
        <f>IF($J$5&gt;2,K22,0)</f>
        <v>0</v>
      </c>
      <c r="M22" s="16">
        <f>IF($J$5&gt;3,L22,0)</f>
        <v>0</v>
      </c>
      <c r="N22" s="16">
        <f>IF($J$5&gt;4,M22,0)</f>
        <v>0</v>
      </c>
      <c r="O22" s="145">
        <f>IF(U23="A",IF($U$2&lt;&gt;0,IF(T23/9*3&gt;($U$2/12*3),($U$2/12*3),T23/9*3),T23/9*3),0)</f>
        <v>0</v>
      </c>
      <c r="P22" s="157"/>
      <c r="Q22" s="157">
        <f>((SUM(J19:N19)-SUM(J21:N21)*9)/(CEILING($J$5*3,3)))*3</f>
        <v>0</v>
      </c>
      <c r="R22" s="12"/>
      <c r="S22" s="12"/>
      <c r="T22" s="12"/>
      <c r="U22" s="94"/>
      <c r="V22" s="94"/>
    </row>
    <row r="23" spans="1:22" outlineLevel="1" x14ac:dyDescent="0.25">
      <c r="A23" s="212"/>
      <c r="B23" s="55"/>
      <c r="C23" s="55"/>
      <c r="D23" s="206"/>
      <c r="E23" s="206"/>
      <c r="F23" s="206"/>
      <c r="G23" s="213"/>
      <c r="H23" s="214"/>
      <c r="I23" s="207" t="s">
        <v>109</v>
      </c>
      <c r="J23" s="147">
        <f>SUM(B20:B22)*$V23</f>
        <v>0</v>
      </c>
      <c r="K23" s="147">
        <f>SUM(C20:C22)*$V23</f>
        <v>0</v>
      </c>
      <c r="L23" s="147">
        <f>SUM(D20:D22)*$V23</f>
        <v>0</v>
      </c>
      <c r="M23" s="147">
        <f>SUM(E20:E22)*$V23</f>
        <v>0</v>
      </c>
      <c r="N23" s="147">
        <f>SUM(F20:F22)*$V23</f>
        <v>0</v>
      </c>
      <c r="O23" s="146"/>
      <c r="P23" s="157"/>
      <c r="Q23" s="157"/>
      <c r="R23" s="12"/>
      <c r="S23" s="12"/>
      <c r="T23" s="215">
        <v>0</v>
      </c>
      <c r="U23" s="216"/>
      <c r="V23" s="217">
        <f>$J$79</f>
        <v>0</v>
      </c>
    </row>
    <row r="24" spans="1:22" outlineLevel="1" x14ac:dyDescent="0.25">
      <c r="A24" s="212"/>
      <c r="B24" s="55"/>
      <c r="C24" s="55"/>
      <c r="D24" s="206"/>
      <c r="E24" s="206"/>
      <c r="F24" s="206"/>
      <c r="G24" s="213"/>
      <c r="H24" s="214"/>
      <c r="I24" s="218"/>
      <c r="J24" s="91"/>
      <c r="K24" s="91"/>
      <c r="L24" s="91"/>
      <c r="M24" s="91"/>
      <c r="N24" s="91"/>
      <c r="O24" s="22"/>
      <c r="P24" s="157"/>
      <c r="Q24" s="157"/>
      <c r="R24" s="12"/>
      <c r="S24" s="12"/>
      <c r="T24" s="208"/>
      <c r="U24" s="94"/>
      <c r="V24" s="94"/>
    </row>
    <row r="25" spans="1:22" outlineLevel="1" x14ac:dyDescent="0.25">
      <c r="A25" s="205" t="s">
        <v>84</v>
      </c>
      <c r="B25" s="55"/>
      <c r="C25" s="206"/>
      <c r="D25" s="206"/>
      <c r="E25" s="206"/>
      <c r="F25" s="206"/>
      <c r="G25" s="203"/>
      <c r="I25" s="207" t="s">
        <v>128</v>
      </c>
      <c r="J25" s="5">
        <f>IF(U29="F",J26*12,SUM(J27*9,J28))</f>
        <v>0</v>
      </c>
      <c r="K25" s="5">
        <f>IF(U29="F",K26*12,SUM(K27*9,K28))</f>
        <v>0</v>
      </c>
      <c r="L25" s="5">
        <f>IF(U29="F",L26*12,SUM(L27*9,L28))</f>
        <v>0</v>
      </c>
      <c r="M25" s="5">
        <f>IF(U29="F",M26*12,SUM(M27*9,M28))</f>
        <v>0</v>
      </c>
      <c r="N25" s="5">
        <f>IF(U29="F",N26*12,SUM(N27*9,N28))</f>
        <v>0</v>
      </c>
      <c r="O25" s="49" t="s">
        <v>51</v>
      </c>
      <c r="P25" s="153" t="s">
        <v>126</v>
      </c>
      <c r="Q25" s="153" t="s">
        <v>127</v>
      </c>
      <c r="R25" s="11"/>
      <c r="S25" s="12"/>
      <c r="T25" s="208"/>
      <c r="U25" s="94"/>
      <c r="V25" s="94"/>
    </row>
    <row r="26" spans="1:22" outlineLevel="1" x14ac:dyDescent="0.25">
      <c r="A26" s="209" t="str">
        <f>ROUND(P26*100, 2)&amp;"% Avg. Fiscal Effort, "&amp;ROUND(Q26, 2)&amp;" Avg. Calendar Months"</f>
        <v>0% Avg. Fiscal Effort, 0 Avg. Calendar Months</v>
      </c>
      <c r="B26" s="55">
        <f>O26*J26</f>
        <v>0</v>
      </c>
      <c r="C26" s="55">
        <f>IF($J$5&gt;1,IF($U$2&lt;&gt;0,IF(O26*(1+$O$5)&lt;=$U$2,O26*K26*(1+$O$5),$U$2*K26),O26*K26*(1+$O$5)),0)</f>
        <v>0</v>
      </c>
      <c r="D26" s="55">
        <f>IF($J$5&gt;2,IF($U$2&lt;&gt;0,IF(O26*(1+$O$5)^2&lt;=$U$2,O26*L26*(1+$O$5)^2,$U$2*L26),O26*L26*(1+$O$5)^2),0)</f>
        <v>0</v>
      </c>
      <c r="E26" s="55">
        <f>IF($J$5&gt;3,IF($U$2&lt;&gt;0,IF(O26*(1+$O$5)^3&lt;=$U$2,O26*M26*(1+$O$5)^3,$U$2*M26),O26*M26*(1+$O$5)^3),0)</f>
        <v>0</v>
      </c>
      <c r="F26" s="55">
        <f>IF($J$5&gt;4,IF($U$2&lt;&gt;0,IF(O26*(1+$O$5)^4&lt;=$U$2,O26*N26*(1+$O$5)^4,$U$2*N26),O26*N26*(1+$O$5)^4),0)</f>
        <v>0</v>
      </c>
      <c r="G26" s="203">
        <f>SUM(B26:F26)</f>
        <v>0</v>
      </c>
      <c r="H26" s="210"/>
      <c r="I26" s="207" t="s">
        <v>26</v>
      </c>
      <c r="J26" s="17">
        <v>0</v>
      </c>
      <c r="K26" s="17">
        <f>IF($J$5&gt;1,J26,0)</f>
        <v>0</v>
      </c>
      <c r="L26" s="17">
        <f>IF($J$5&gt;2,K26,0)</f>
        <v>0</v>
      </c>
      <c r="M26" s="17">
        <f>IF($J$5&gt;3,L26,0)</f>
        <v>0</v>
      </c>
      <c r="N26" s="17">
        <f>IF($J$5&gt;4,M26,0)</f>
        <v>0</v>
      </c>
      <c r="O26" s="145">
        <f>IF(U29="F",IF($U$2&lt;&gt;0,IF(T29&gt;$U$2,$U$2,T29),T29),0)</f>
        <v>0</v>
      </c>
      <c r="P26" s="157">
        <f>SUM(J25:N25)/(ROUNDUP($J$5,0)*12)</f>
        <v>0</v>
      </c>
      <c r="Q26" s="156">
        <f>(SUM(J25:N25)/(CEILING($J$5*12,12)))*12</f>
        <v>0</v>
      </c>
      <c r="R26" s="12"/>
      <c r="S26" s="12"/>
      <c r="T26" s="208"/>
      <c r="U26" s="94"/>
      <c r="V26" s="94"/>
    </row>
    <row r="27" spans="1:22" outlineLevel="1" x14ac:dyDescent="0.25">
      <c r="A27" s="495" t="str">
        <f>ROUND(P26*100,2)&amp;"% Annualized Effort, "&amp;ROUND(Q27,2)&amp;" Avg. Academic Months
"&amp;IF(SUM(J28:N28)&gt;0," and "&amp;Q28 &amp;" Avg. Summer Months", "")</f>
        <v xml:space="preserve">0% Annualized Effort, 0 Avg. Academic Months
</v>
      </c>
      <c r="B27" s="55">
        <f>J27*O27</f>
        <v>0</v>
      </c>
      <c r="C27" s="55">
        <f>IF($J$5&gt;1,IF($U$2&lt;&gt;0,IF(O27*(1+$O$5)&lt;=$U$2*0.75,O27*K27*(1+$O$5),$U$2*0.75*K27),O27*K27*(1+$O$5)),0)</f>
        <v>0</v>
      </c>
      <c r="D27" s="55">
        <f>IF($J$5&gt;2,IF($U$2&lt;&gt;0,IF(O27*(1+$O$5)^2&lt;=$U$2*0.75,O27*L27*(1+$O$5)^2,$U$2*0.75*L27),O27*L27*(1+$O$5)^2),0)</f>
        <v>0</v>
      </c>
      <c r="E27" s="55">
        <f>IF($J$5&gt;3,IF($U$2&lt;&gt;0,IF(O27*(1+$O$5)^3&lt;=$U$2*0.75,O27*M27*(1+$O$5)^3,$U$2*0.75*M27),O27*M27*(1+$O$5)^3),0)</f>
        <v>0</v>
      </c>
      <c r="F27" s="55">
        <f>IF($J$5&gt;4,IF($U$2&lt;&gt;0,IF(O27*(1+$O$5)^4&lt;=$U$2*0.75,O27*N27*(1+$O$5)^4,$U$2*0.75*N27),O27*N27*(1+$O$5)^4),0)</f>
        <v>0</v>
      </c>
      <c r="G27" s="203">
        <f>SUM(B27:F27)</f>
        <v>0</v>
      </c>
      <c r="H27" s="210"/>
      <c r="I27" s="207" t="s">
        <v>15</v>
      </c>
      <c r="J27" s="17">
        <v>0</v>
      </c>
      <c r="K27" s="17">
        <f>IF($J$5&gt;1,J27,0)</f>
        <v>0</v>
      </c>
      <c r="L27" s="17">
        <f>IF($J$5&gt;2,K27,0)</f>
        <v>0</v>
      </c>
      <c r="M27" s="17">
        <f>IF($J$5&gt;3,L27,0)</f>
        <v>0</v>
      </c>
      <c r="N27" s="17">
        <f>IF($J$5&gt;4,M27,0)</f>
        <v>0</v>
      </c>
      <c r="O27" s="145">
        <f>IF(U29="A",IF($U$2&lt;&gt;0,IF(T29&gt;($U$2/12*9),($U$2/12*9),T29),T29),0)</f>
        <v>0</v>
      </c>
      <c r="P27" s="211"/>
      <c r="Q27" s="156">
        <f>((SUM(J25:N25)-SUM(J28:N28))/(CEILING($J$5*9,9)))*9</f>
        <v>0</v>
      </c>
      <c r="R27" s="12"/>
      <c r="S27" s="12"/>
      <c r="T27" s="208"/>
      <c r="U27" s="94"/>
      <c r="V27" s="94"/>
    </row>
    <row r="28" spans="1:22" outlineLevel="1" x14ac:dyDescent="0.25">
      <c r="A28" s="495"/>
      <c r="B28" s="55">
        <f>J28/3*O28</f>
        <v>0</v>
      </c>
      <c r="C28" s="55">
        <f>IF($J$5&gt;1,IF($U$2&lt;&gt;0,IF(O28*(1+$O$5)&lt;=$U$2*0.25,O28*K28/3*(1+$O$5),$U$2*0.25*K28/3),O28*K28/3*(1+$O$5)),0)</f>
        <v>0</v>
      </c>
      <c r="D28" s="55">
        <f>IF($J$5&gt;2,IF($U$2&lt;&gt;0,IF(O28*(1+$O$5)^2&lt;=$U$2*0.25,O28*L28/3*(1+$O$5)^2,$U$2*0.25*L28/3),O28*L28/3*(1+$O$5)^2),0)</f>
        <v>0</v>
      </c>
      <c r="E28" s="55">
        <f>IF($J$5&gt;3,IF($U$2&lt;&gt;0,IF(O28*(1+$O$5)^3&lt;=$U$2*0.25,O28*M28/3*(1+$O$5)^3,$U$2*0.25*M28/3),O28*M28/3*(1+$O$5)^3),0)</f>
        <v>0</v>
      </c>
      <c r="F28" s="55">
        <f>IF($J$5&gt;4,IF($U$2&lt;&gt;0,IF(O28*(1+$O$5)^4&lt;=$U$2*0.25,O28*N28/3*(1+$O$5)^4,$U$2*0.25*N28/3),O28*N28/3*(1+$O$5)^4),0)</f>
        <v>0</v>
      </c>
      <c r="G28" s="203">
        <f>SUM(B28:F28)</f>
        <v>0</v>
      </c>
      <c r="H28" s="210"/>
      <c r="I28" s="207" t="s">
        <v>17</v>
      </c>
      <c r="J28" s="16">
        <v>0</v>
      </c>
      <c r="K28" s="16">
        <f>IF($J$5&gt;1,J28,0)</f>
        <v>0</v>
      </c>
      <c r="L28" s="16">
        <f>IF($J$5&gt;2,K28,0)</f>
        <v>0</v>
      </c>
      <c r="M28" s="16">
        <f>IF($J$5&gt;3,L28,0)</f>
        <v>0</v>
      </c>
      <c r="N28" s="16">
        <f>IF($J$5&gt;4,M28,0)</f>
        <v>0</v>
      </c>
      <c r="O28" s="145">
        <f>IF(U29="A",IF($U$2&lt;&gt;0,IF(T29/9*3&gt;($U$2/12*3),($U$2/12*3),T29/9*3),T29/9*3),0)</f>
        <v>0</v>
      </c>
      <c r="P28" s="157"/>
      <c r="Q28" s="157">
        <f>((SUM(J25:N25)-SUM(J27:N27)*9)/(CEILING($J$5*3,3)))*3</f>
        <v>0</v>
      </c>
      <c r="R28" s="12"/>
      <c r="S28" s="12"/>
      <c r="T28" s="12"/>
      <c r="U28" s="94"/>
      <c r="V28" s="94"/>
    </row>
    <row r="29" spans="1:22" outlineLevel="1" x14ac:dyDescent="0.25">
      <c r="A29" s="212"/>
      <c r="B29" s="55"/>
      <c r="C29" s="55"/>
      <c r="D29" s="206"/>
      <c r="E29" s="206"/>
      <c r="F29" s="206"/>
      <c r="G29" s="213"/>
      <c r="H29" s="214"/>
      <c r="I29" s="207" t="s">
        <v>109</v>
      </c>
      <c r="J29" s="147">
        <f>SUM(B26:B28)*$V29</f>
        <v>0</v>
      </c>
      <c r="K29" s="147">
        <f>SUM(C26:C28)*$V29</f>
        <v>0</v>
      </c>
      <c r="L29" s="147">
        <f>SUM(D26:D28)*$V29</f>
        <v>0</v>
      </c>
      <c r="M29" s="147">
        <f>SUM(E26:E28)*$V29</f>
        <v>0</v>
      </c>
      <c r="N29" s="147">
        <f>SUM(F26:F28)*$V29</f>
        <v>0</v>
      </c>
      <c r="O29" s="146"/>
      <c r="P29" s="157"/>
      <c r="Q29" s="157"/>
      <c r="R29" s="12"/>
      <c r="S29" s="12"/>
      <c r="T29" s="215">
        <v>0</v>
      </c>
      <c r="U29" s="216"/>
      <c r="V29" s="217">
        <f>$J$79</f>
        <v>0</v>
      </c>
    </row>
    <row r="30" spans="1:22" outlineLevel="1" x14ac:dyDescent="0.25">
      <c r="A30" s="212"/>
      <c r="B30" s="55"/>
      <c r="C30" s="55"/>
      <c r="D30" s="206"/>
      <c r="E30" s="206"/>
      <c r="F30" s="206"/>
      <c r="G30" s="213"/>
      <c r="H30" s="214"/>
      <c r="I30" s="218"/>
      <c r="J30" s="91"/>
      <c r="K30" s="91"/>
      <c r="L30" s="91"/>
      <c r="M30" s="91"/>
      <c r="N30" s="91"/>
      <c r="O30" s="22"/>
      <c r="P30" s="157"/>
      <c r="Q30" s="157"/>
      <c r="R30" s="12"/>
      <c r="S30" s="12"/>
      <c r="T30" s="208"/>
      <c r="U30" s="94"/>
      <c r="V30" s="94"/>
    </row>
    <row r="31" spans="1:22" outlineLevel="1" x14ac:dyDescent="0.25">
      <c r="A31" s="205" t="s">
        <v>84</v>
      </c>
      <c r="B31" s="55"/>
      <c r="C31" s="206"/>
      <c r="D31" s="206"/>
      <c r="E31" s="206"/>
      <c r="F31" s="206"/>
      <c r="G31" s="203"/>
      <c r="I31" s="207" t="s">
        <v>128</v>
      </c>
      <c r="J31" s="5">
        <f>IF(U35="F",J32*12,SUM(J33*9,J34))</f>
        <v>0</v>
      </c>
      <c r="K31" s="5">
        <f>IF(U35="F",K32*12,SUM(K33*9,K34))</f>
        <v>0</v>
      </c>
      <c r="L31" s="5">
        <f>IF(U35="F",L32*12,SUM(L33*9,L34))</f>
        <v>0</v>
      </c>
      <c r="M31" s="5">
        <f>IF(U35="F",M32*12,SUM(M33*9,M34))</f>
        <v>0</v>
      </c>
      <c r="N31" s="5">
        <f>IF(U35="F",N32*12,SUM(N33*9,N34))</f>
        <v>0</v>
      </c>
      <c r="O31" s="49" t="s">
        <v>51</v>
      </c>
      <c r="P31" s="153" t="s">
        <v>126</v>
      </c>
      <c r="Q31" s="153" t="s">
        <v>127</v>
      </c>
      <c r="R31" s="11"/>
      <c r="S31" s="12"/>
      <c r="T31" s="208"/>
      <c r="U31" s="94"/>
      <c r="V31" s="94"/>
    </row>
    <row r="32" spans="1:22" outlineLevel="1" x14ac:dyDescent="0.25">
      <c r="A32" s="209" t="str">
        <f>ROUND(P32*100, 2)&amp;"% Avg. Fiscal Effort, "&amp;ROUND(Q32, 2)&amp;" Avg. Calendar Months"</f>
        <v>0% Avg. Fiscal Effort, 0 Avg. Calendar Months</v>
      </c>
      <c r="B32" s="55">
        <f>O32*J32</f>
        <v>0</v>
      </c>
      <c r="C32" s="55">
        <f>IF($J$5&gt;1,IF($U$2&lt;&gt;0,IF(O32*(1+$O$5)&lt;=$U$2,O32*K32*(1+$O$5),$U$2*K32),O32*K32*(1+$O$5)),0)</f>
        <v>0</v>
      </c>
      <c r="D32" s="55">
        <f>IF($J$5&gt;2,IF($U$2&lt;&gt;0,IF(O32*(1+$O$5)^2&lt;=$U$2,O32*L32*(1+$O$5)^2,$U$2*L32),O32*L32*(1+$O$5)^2),0)</f>
        <v>0</v>
      </c>
      <c r="E32" s="55">
        <f>IF($J$5&gt;3,IF($U$2&lt;&gt;0,IF(O32*(1+$O$5)^3&lt;=$U$2,O32*M32*(1+$O$5)^3,$U$2*M32),O32*M32*(1+$O$5)^3),0)</f>
        <v>0</v>
      </c>
      <c r="F32" s="55">
        <f>IF($J$5&gt;4,IF($U$2&lt;&gt;0,IF(O32*(1+$O$5)^4&lt;=$U$2,O32*N32*(1+$O$5)^4,$U$2*N32),O32*N32*(1+$O$5)^4),0)</f>
        <v>0</v>
      </c>
      <c r="G32" s="203">
        <f>SUM(B32:F32)</f>
        <v>0</v>
      </c>
      <c r="H32" s="210"/>
      <c r="I32" s="207" t="s">
        <v>26</v>
      </c>
      <c r="J32" s="17">
        <v>0</v>
      </c>
      <c r="K32" s="17">
        <f>IF($J$5&gt;1,J32,0)</f>
        <v>0</v>
      </c>
      <c r="L32" s="17">
        <f>IF($J$5&gt;2,K32,0)</f>
        <v>0</v>
      </c>
      <c r="M32" s="17">
        <f>IF($J$5&gt;3,L32,0)</f>
        <v>0</v>
      </c>
      <c r="N32" s="17">
        <f>IF($J$5&gt;4,M32,0)</f>
        <v>0</v>
      </c>
      <c r="O32" s="145">
        <f>IF(U35="F",IF($U$2&lt;&gt;0,IF(T35&gt;$U$2,$U$2,T35),T35),0)</f>
        <v>0</v>
      </c>
      <c r="P32" s="157">
        <f>SUM(J31:N31)/(ROUNDUP($J$5,0)*12)</f>
        <v>0</v>
      </c>
      <c r="Q32" s="156">
        <f>(SUM(J31:N31)/(CEILING($J$5*12,12)))*12</f>
        <v>0</v>
      </c>
      <c r="R32" s="12"/>
      <c r="S32" s="12"/>
      <c r="T32" s="208"/>
      <c r="U32" s="94"/>
      <c r="V32" s="94"/>
    </row>
    <row r="33" spans="1:22" outlineLevel="1" x14ac:dyDescent="0.25">
      <c r="A33" s="495" t="str">
        <f>ROUND(P32*100,2)&amp;"% Annualized Effort, "&amp;ROUND(Q33,2)&amp;" Avg. Academic Months
"&amp;IF(SUM(J34:N34)&gt;0," and "&amp;Q34 &amp;" Avg. Summer Months", "")</f>
        <v xml:space="preserve">0% Annualized Effort, 0 Avg. Academic Months
</v>
      </c>
      <c r="B33" s="55">
        <f>J33*O33</f>
        <v>0</v>
      </c>
      <c r="C33" s="55">
        <f>IF($J$5&gt;1,IF($U$2&lt;&gt;0,IF(O33*(1+$O$5)&lt;=$U$2*0.75,O33*K33*(1+$O$5),$U$2*0.75*K33),O33*K33*(1+$O$5)),0)</f>
        <v>0</v>
      </c>
      <c r="D33" s="55">
        <f>IF($J$5&gt;2,IF($U$2&lt;&gt;0,IF(O33*(1+$O$5)^2&lt;=$U$2*0.75,O33*L33*(1+$O$5)^2,$U$2*0.75*L33),O33*L33*(1+$O$5)^2),0)</f>
        <v>0</v>
      </c>
      <c r="E33" s="55">
        <f>IF($J$5&gt;3,IF($U$2&lt;&gt;0,IF(O33*(1+$O$5)^3&lt;=$U$2*0.75,O33*M33*(1+$O$5)^3,$U$2*0.75*M33),O33*M33*(1+$O$5)^3),0)</f>
        <v>0</v>
      </c>
      <c r="F33" s="55">
        <f>IF($J$5&gt;4,IF($U$2&lt;&gt;0,IF(O33*(1+$O$5)^4&lt;=$U$2*0.75,O33*N33*(1+$O$5)^4,$U$2*0.75*N33),O33*N33*(1+$O$5)^4),0)</f>
        <v>0</v>
      </c>
      <c r="G33" s="203">
        <f>SUM(B33:F33)</f>
        <v>0</v>
      </c>
      <c r="H33" s="210"/>
      <c r="I33" s="207" t="s">
        <v>15</v>
      </c>
      <c r="J33" s="17">
        <v>0</v>
      </c>
      <c r="K33" s="17">
        <f>IF($J$5&gt;1,J33,0)</f>
        <v>0</v>
      </c>
      <c r="L33" s="17">
        <f>IF($J$5&gt;2,K33,0)</f>
        <v>0</v>
      </c>
      <c r="M33" s="17">
        <f>IF($J$5&gt;3,L33,0)</f>
        <v>0</v>
      </c>
      <c r="N33" s="17">
        <f>IF($J$5&gt;4,M33,0)</f>
        <v>0</v>
      </c>
      <c r="O33" s="145">
        <f>IF(U35="A",IF($U$2&lt;&gt;0,IF(T35&gt;($U$2/12*9),($U$2/12*9),T35),T35),0)</f>
        <v>0</v>
      </c>
      <c r="P33" s="211"/>
      <c r="Q33" s="156">
        <f>((SUM(J31:N31)-SUM(J34:N34))/(CEILING($J$5*9,9)))*9</f>
        <v>0</v>
      </c>
      <c r="R33" s="12"/>
      <c r="S33" s="12"/>
      <c r="T33" s="208"/>
      <c r="U33" s="94"/>
      <c r="V33" s="94"/>
    </row>
    <row r="34" spans="1:22" outlineLevel="1" x14ac:dyDescent="0.25">
      <c r="A34" s="495"/>
      <c r="B34" s="55">
        <f>J34/3*O34</f>
        <v>0</v>
      </c>
      <c r="C34" s="55">
        <f>IF($J$5&gt;1,IF($U$2&lt;&gt;0,IF(O34*(1+$O$5)&lt;=$U$2*0.25,O34*K34/3*(1+$O$5),$U$2*0.25*K34/3),O34*K34/3*(1+$O$5)),0)</f>
        <v>0</v>
      </c>
      <c r="D34" s="55">
        <f>IF($J$5&gt;2,IF($U$2&lt;&gt;0,IF(O34*(1+$O$5)^2&lt;=$U$2*0.25,O34*L34/3*(1+$O$5)^2,$U$2*0.25*L34/3),O34*L34/3*(1+$O$5)^2),0)</f>
        <v>0</v>
      </c>
      <c r="E34" s="55">
        <f>IF($J$5&gt;3,IF($U$2&lt;&gt;0,IF(O34*(1+$O$5)^3&lt;=$U$2*0.25,O34*M34/3*(1+$O$5)^3,$U$2*0.25*M34/3),O34*M34/3*(1+$O$5)^3),0)</f>
        <v>0</v>
      </c>
      <c r="F34" s="55">
        <f>IF($J$5&gt;4,IF($U$2&lt;&gt;0,IF(O34*(1+$O$5)^4&lt;=$U$2*0.25,O34*N34/3*(1+$O$5)^4,$U$2*0.25*N34/3),O34*N34/3*(1+$O$5)^4),0)</f>
        <v>0</v>
      </c>
      <c r="G34" s="203">
        <f>SUM(B34:F34)</f>
        <v>0</v>
      </c>
      <c r="H34" s="210"/>
      <c r="I34" s="207" t="s">
        <v>17</v>
      </c>
      <c r="J34" s="16">
        <v>0</v>
      </c>
      <c r="K34" s="16">
        <f>IF($J$5&gt;1,J34,0)</f>
        <v>0</v>
      </c>
      <c r="L34" s="16">
        <f>IF($J$5&gt;2,K34,0)</f>
        <v>0</v>
      </c>
      <c r="M34" s="16">
        <f>IF($J$5&gt;3,L34,0)</f>
        <v>0</v>
      </c>
      <c r="N34" s="16">
        <f>IF($J$5&gt;4,M34,0)</f>
        <v>0</v>
      </c>
      <c r="O34" s="145">
        <f>IF(U35="A",IF($U$2&lt;&gt;0,IF(T35/9*3&gt;($U$2/12*3),($U$2/12*3),T35/9*3),T35/9*3),0)</f>
        <v>0</v>
      </c>
      <c r="P34" s="157"/>
      <c r="Q34" s="157">
        <f>((SUM(J31:N31)-SUM(J33:N33)*9)/(CEILING($J$5*3,3)))*3</f>
        <v>0</v>
      </c>
      <c r="R34" s="12"/>
      <c r="S34" s="12"/>
      <c r="T34" s="12"/>
      <c r="U34" s="94"/>
      <c r="V34" s="94"/>
    </row>
    <row r="35" spans="1:22" outlineLevel="1" x14ac:dyDescent="0.25">
      <c r="A35" s="212"/>
      <c r="B35" s="55"/>
      <c r="C35" s="55"/>
      <c r="D35" s="206"/>
      <c r="E35" s="206"/>
      <c r="F35" s="206"/>
      <c r="G35" s="213"/>
      <c r="H35" s="214"/>
      <c r="I35" s="207" t="s">
        <v>109</v>
      </c>
      <c r="J35" s="147">
        <f>SUM(B32:B34)*$V35</f>
        <v>0</v>
      </c>
      <c r="K35" s="147">
        <f>SUM(C32:C34)*$V35</f>
        <v>0</v>
      </c>
      <c r="L35" s="147">
        <f>SUM(D32:D34)*$V35</f>
        <v>0</v>
      </c>
      <c r="M35" s="147">
        <f>SUM(E32:E34)*$V35</f>
        <v>0</v>
      </c>
      <c r="N35" s="147">
        <f>SUM(F32:F34)*$V35</f>
        <v>0</v>
      </c>
      <c r="O35" s="146"/>
      <c r="P35" s="157"/>
      <c r="Q35" s="157"/>
      <c r="R35" s="12"/>
      <c r="S35" s="12"/>
      <c r="T35" s="215">
        <v>0</v>
      </c>
      <c r="U35" s="216"/>
      <c r="V35" s="217">
        <f>$J$79</f>
        <v>0</v>
      </c>
    </row>
    <row r="36" spans="1:22" outlineLevel="1" x14ac:dyDescent="0.25">
      <c r="A36" s="212"/>
      <c r="B36" s="55"/>
      <c r="C36" s="55"/>
      <c r="D36" s="206"/>
      <c r="E36" s="206"/>
      <c r="F36" s="206"/>
      <c r="G36" s="213"/>
      <c r="H36" s="214"/>
      <c r="I36" s="218"/>
      <c r="J36" s="91"/>
      <c r="K36" s="91"/>
      <c r="L36" s="91"/>
      <c r="M36" s="91"/>
      <c r="N36" s="91"/>
      <c r="O36" s="22"/>
      <c r="P36" s="157"/>
      <c r="Q36" s="157"/>
      <c r="R36" s="12"/>
      <c r="S36" s="12"/>
      <c r="T36" s="208"/>
      <c r="U36" s="94"/>
      <c r="V36" s="94"/>
    </row>
    <row r="37" spans="1:22" outlineLevel="1" x14ac:dyDescent="0.25">
      <c r="A37" s="205" t="s">
        <v>84</v>
      </c>
      <c r="B37" s="55"/>
      <c r="C37" s="206"/>
      <c r="D37" s="206"/>
      <c r="E37" s="206"/>
      <c r="F37" s="206"/>
      <c r="G37" s="203"/>
      <c r="I37" s="207" t="s">
        <v>128</v>
      </c>
      <c r="J37" s="5">
        <f>IF(U41="F",J38*12,SUM(J39*9,J40))</f>
        <v>0</v>
      </c>
      <c r="K37" s="5">
        <f>IF(U41="F",K38*12,SUM(K39*9,K40))</f>
        <v>0</v>
      </c>
      <c r="L37" s="5">
        <f>IF(U41="F",L38*12,SUM(L39*9,L40))</f>
        <v>0</v>
      </c>
      <c r="M37" s="5">
        <f>IF(U41="F",M38*12,SUM(M39*9,M40))</f>
        <v>0</v>
      </c>
      <c r="N37" s="5">
        <f>IF(U41="F",N38*12,SUM(N39*9,N40))</f>
        <v>0</v>
      </c>
      <c r="O37" s="49" t="s">
        <v>51</v>
      </c>
      <c r="P37" s="153" t="s">
        <v>126</v>
      </c>
      <c r="Q37" s="153" t="s">
        <v>127</v>
      </c>
      <c r="R37" s="11"/>
      <c r="S37" s="12"/>
      <c r="T37" s="208"/>
      <c r="U37" s="94"/>
      <c r="V37" s="94"/>
    </row>
    <row r="38" spans="1:22" outlineLevel="1" x14ac:dyDescent="0.25">
      <c r="A38" s="209" t="str">
        <f>ROUND(P38*100, 2)&amp;"% Avg. Fiscal Effort, "&amp;ROUND(Q38, 2)&amp;" Avg. Calendar Months"</f>
        <v>0% Avg. Fiscal Effort, 0 Avg. Calendar Months</v>
      </c>
      <c r="B38" s="55">
        <f>O38*J38</f>
        <v>0</v>
      </c>
      <c r="C38" s="55">
        <f>IF($J$5&gt;1,IF($U$2&lt;&gt;0,IF(O38*(1+$O$5)&lt;=$U$2,O38*K38*(1+$O$5),$U$2*K38),O38*K38*(1+$O$5)),0)</f>
        <v>0</v>
      </c>
      <c r="D38" s="55">
        <f>IF($J$5&gt;2,IF($U$2&lt;&gt;0,IF(O38*(1+$O$5)^2&lt;=$U$2,O38*L38*(1+$O$5)^2,$U$2*L38),O38*L38*(1+$O$5)^2),0)</f>
        <v>0</v>
      </c>
      <c r="E38" s="55">
        <f>IF($J$5&gt;3,IF($U$2&lt;&gt;0,IF(O38*(1+$O$5)^3&lt;=$U$2,O38*M38*(1+$O$5)^3,$U$2*M38),O38*M38*(1+$O$5)^3),0)</f>
        <v>0</v>
      </c>
      <c r="F38" s="55">
        <f>IF($J$5&gt;4,IF($U$2&lt;&gt;0,IF(O38*(1+$O$5)^4&lt;=$U$2,O38*N38*(1+$O$5)^4,$U$2*N38),O38*N38*(1+$O$5)^4),0)</f>
        <v>0</v>
      </c>
      <c r="G38" s="203">
        <f>SUM(B38:F38)</f>
        <v>0</v>
      </c>
      <c r="H38" s="210"/>
      <c r="I38" s="207" t="s">
        <v>26</v>
      </c>
      <c r="J38" s="17">
        <v>0</v>
      </c>
      <c r="K38" s="17">
        <f>IF($J$5&gt;1,J38,0)</f>
        <v>0</v>
      </c>
      <c r="L38" s="17">
        <f>IF($J$5&gt;2,K38,0)</f>
        <v>0</v>
      </c>
      <c r="M38" s="17">
        <f>IF($J$5&gt;3,L38,0)</f>
        <v>0</v>
      </c>
      <c r="N38" s="17">
        <f>IF($J$5&gt;4,M38,0)</f>
        <v>0</v>
      </c>
      <c r="O38" s="145">
        <f>IF(U41="F",IF($U$2&lt;&gt;0,IF(T41&gt;$U$2,$U$2,T41),T41),0)</f>
        <v>0</v>
      </c>
      <c r="P38" s="157">
        <f>SUM(J37:N37)/(ROUNDUP($J$5,0)*12)</f>
        <v>0</v>
      </c>
      <c r="Q38" s="156">
        <f>(SUM(J37:N37)/(CEILING($J$5*12,12)))*12</f>
        <v>0</v>
      </c>
      <c r="R38" s="12"/>
      <c r="S38" s="12"/>
      <c r="T38" s="208"/>
      <c r="U38" s="94"/>
      <c r="V38" s="94"/>
    </row>
    <row r="39" spans="1:22" ht="15.75" customHeight="1" outlineLevel="1" x14ac:dyDescent="0.25">
      <c r="A39" s="495" t="str">
        <f>ROUND(P38*100,2)&amp;"% Annualized Effort, "&amp;ROUND(Q39,2)&amp;" Avg. Academic Months
"&amp;IF(SUM(J40:N40)&gt;0," and "&amp;Q40 &amp;" Avg. Summer Months", "")</f>
        <v xml:space="preserve">0% Annualized Effort, 0 Avg. Academic Months
</v>
      </c>
      <c r="B39" s="55">
        <f>J39*O39</f>
        <v>0</v>
      </c>
      <c r="C39" s="55">
        <f>IF($J$5&gt;1,IF($U$2&lt;&gt;0,IF(O39*(1+$O$5)&lt;=$U$2*0.75,O39*K39*(1+$O$5),$U$2*0.75*K39),O39*K39*(1+$O$5)),0)</f>
        <v>0</v>
      </c>
      <c r="D39" s="55">
        <f>IF($J$5&gt;2,IF($U$2&lt;&gt;0,IF(O39*(1+$O$5)^2&lt;=$U$2*0.75,O39*L39*(1+$O$5)^2,$U$2*0.75*L39),O39*L39*(1+$O$5)^2),0)</f>
        <v>0</v>
      </c>
      <c r="E39" s="55">
        <f>IF($J$5&gt;3,IF($U$2&lt;&gt;0,IF(O39*(1+$O$5)^3&lt;=$U$2*0.75,O39*M39*(1+$O$5)^3,$U$2*0.75*M39),O39*M39*(1+$O$5)^3),0)</f>
        <v>0</v>
      </c>
      <c r="F39" s="55">
        <f>IF($J$5&gt;4,IF($U$2&lt;&gt;0,IF(O39*(1+$O$5)^4&lt;=$U$2*0.75,O39*N39*(1+$O$5)^4,$U$2*0.75*N39),O39*N39*(1+$O$5)^4),0)</f>
        <v>0</v>
      </c>
      <c r="G39" s="203">
        <f>SUM(B39:F39)</f>
        <v>0</v>
      </c>
      <c r="H39" s="210"/>
      <c r="I39" s="207" t="s">
        <v>15</v>
      </c>
      <c r="J39" s="17">
        <v>0</v>
      </c>
      <c r="K39" s="17">
        <f>IF($J$5&gt;1,J39,0)</f>
        <v>0</v>
      </c>
      <c r="L39" s="17">
        <f>IF($J$5&gt;2,K39,0)</f>
        <v>0</v>
      </c>
      <c r="M39" s="17">
        <f>IF($J$5&gt;3,L39,0)</f>
        <v>0</v>
      </c>
      <c r="N39" s="17">
        <f>IF($J$5&gt;4,M39,0)</f>
        <v>0</v>
      </c>
      <c r="O39" s="145">
        <f>IF(U41="A",IF($U$2&lt;&gt;0,IF(T41&gt;($U$2/12*9),($U$2/12*9),T41),T41),0)</f>
        <v>0</v>
      </c>
      <c r="P39" s="211"/>
      <c r="Q39" s="156">
        <f>((SUM(J37:N37)-SUM(J40:N40))/(CEILING($J$5*9,9)))*9</f>
        <v>0</v>
      </c>
      <c r="R39" s="12"/>
      <c r="S39" s="12"/>
      <c r="T39" s="208"/>
      <c r="U39" s="94"/>
      <c r="V39" s="94"/>
    </row>
    <row r="40" spans="1:22" outlineLevel="1" x14ac:dyDescent="0.25">
      <c r="A40" s="495"/>
      <c r="B40" s="55">
        <f>J40/3*O40</f>
        <v>0</v>
      </c>
      <c r="C40" s="55">
        <f>IF($J$5&gt;1,IF($U$2&lt;&gt;0,IF(O40*(1+$O$5)&lt;=$U$2*0.25,O40*K40/3*(1+$O$5),$U$2*0.25*K40/3),O40*K40/3*(1+$O$5)),0)</f>
        <v>0</v>
      </c>
      <c r="D40" s="55">
        <f>IF($J$5&gt;2,IF($U$2&lt;&gt;0,IF(O40*(1+$O$5)^2&lt;=$U$2*0.25,O40*L40/3*(1+$O$5)^2,$U$2*0.25*L40/3),O40*L40/3*(1+$O$5)^2),0)</f>
        <v>0</v>
      </c>
      <c r="E40" s="55">
        <f>IF($J$5&gt;3,IF($U$2&lt;&gt;0,IF(O40*(1+$O$5)^3&lt;=$U$2*0.25,O40*M40/3*(1+$O$5)^3,$U$2*0.25*M40/3),O40*M40/3*(1+$O$5)^3),0)</f>
        <v>0</v>
      </c>
      <c r="F40" s="55">
        <f>IF($J$5&gt;4,IF($U$2&lt;&gt;0,IF(O40*(1+$O$5)^4&lt;=$U$2*0.25,O40*N40/3*(1+$O$5)^4,$U$2*0.25*N40/3),O40*N40/3*(1+$O$5)^4),0)</f>
        <v>0</v>
      </c>
      <c r="G40" s="203">
        <f>SUM(B40:F40)</f>
        <v>0</v>
      </c>
      <c r="H40" s="210"/>
      <c r="I40" s="207" t="s">
        <v>17</v>
      </c>
      <c r="J40" s="16">
        <v>0</v>
      </c>
      <c r="K40" s="16">
        <f>IF($J$5&gt;1,J40,0)</f>
        <v>0</v>
      </c>
      <c r="L40" s="16">
        <f>IF($J$5&gt;2,K40,0)</f>
        <v>0</v>
      </c>
      <c r="M40" s="16">
        <f>IF($J$5&gt;3,L40,0)</f>
        <v>0</v>
      </c>
      <c r="N40" s="16">
        <f>IF($J$5&gt;4,M40,0)</f>
        <v>0</v>
      </c>
      <c r="O40" s="145">
        <f>IF(U41="A",IF($U$2&lt;&gt;0,IF(T41/9*3&gt;($U$2/12*3),($U$2/12*3),T41/9*3),T41/9*3),0)</f>
        <v>0</v>
      </c>
      <c r="P40" s="157"/>
      <c r="Q40" s="157">
        <f>((SUM(J37:N37)-SUM(J39:N39)*9)/(CEILING($J$5*3,3)))*3</f>
        <v>0</v>
      </c>
      <c r="R40" s="12"/>
      <c r="S40" s="12"/>
      <c r="T40" s="12"/>
      <c r="U40" s="94"/>
      <c r="V40" s="94"/>
    </row>
    <row r="41" spans="1:22" outlineLevel="1" x14ac:dyDescent="0.25">
      <c r="A41" s="212"/>
      <c r="B41" s="55"/>
      <c r="C41" s="55"/>
      <c r="D41" s="206"/>
      <c r="E41" s="206"/>
      <c r="F41" s="206"/>
      <c r="G41" s="213"/>
      <c r="H41" s="214"/>
      <c r="I41" s="207" t="s">
        <v>109</v>
      </c>
      <c r="J41" s="147">
        <f>SUM(B38:B40)*$V41</f>
        <v>0</v>
      </c>
      <c r="K41" s="147">
        <f>SUM(C38:C40)*$V41</f>
        <v>0</v>
      </c>
      <c r="L41" s="147">
        <f>SUM(D38:D40)*$V41</f>
        <v>0</v>
      </c>
      <c r="M41" s="147">
        <f>SUM(E38:E40)*$V41</f>
        <v>0</v>
      </c>
      <c r="N41" s="147">
        <f>SUM(F38:F40)*$V41</f>
        <v>0</v>
      </c>
      <c r="O41" s="146"/>
      <c r="P41" s="157"/>
      <c r="Q41" s="157"/>
      <c r="R41" s="12"/>
      <c r="S41" s="12"/>
      <c r="T41" s="215">
        <v>0</v>
      </c>
      <c r="U41" s="216"/>
      <c r="V41" s="217">
        <f>$J$79</f>
        <v>0</v>
      </c>
    </row>
    <row r="42" spans="1:22" outlineLevel="1" x14ac:dyDescent="0.25">
      <c r="A42" s="212"/>
      <c r="B42" s="55"/>
      <c r="C42" s="55"/>
      <c r="D42" s="206"/>
      <c r="E42" s="206"/>
      <c r="F42" s="206"/>
      <c r="G42" s="213"/>
      <c r="H42" s="214"/>
      <c r="I42" s="218"/>
      <c r="J42" s="91"/>
      <c r="K42" s="91"/>
      <c r="L42" s="91"/>
      <c r="M42" s="91"/>
      <c r="N42" s="91"/>
      <c r="O42" s="22"/>
      <c r="P42" s="157"/>
      <c r="Q42" s="157"/>
      <c r="R42" s="12"/>
      <c r="S42" s="12"/>
      <c r="T42" s="208"/>
      <c r="U42" s="94"/>
      <c r="V42" s="94"/>
    </row>
    <row r="43" spans="1:22" outlineLevel="1" x14ac:dyDescent="0.25">
      <c r="A43" s="209"/>
      <c r="B43" s="55"/>
      <c r="C43" s="55"/>
      <c r="D43" s="55"/>
      <c r="E43" s="55"/>
      <c r="F43" s="55"/>
      <c r="G43" s="203"/>
      <c r="H43" s="210"/>
      <c r="I43" s="219"/>
      <c r="J43" s="5" t="s">
        <v>6</v>
      </c>
      <c r="K43" s="5" t="s">
        <v>5</v>
      </c>
      <c r="L43" s="5" t="s">
        <v>7</v>
      </c>
      <c r="M43" s="5" t="s">
        <v>8</v>
      </c>
      <c r="N43" s="5" t="s">
        <v>9</v>
      </c>
      <c r="O43" s="102" t="s">
        <v>51</v>
      </c>
      <c r="P43" s="157"/>
      <c r="Q43" s="157"/>
      <c r="R43" s="12"/>
      <c r="S43" s="12"/>
      <c r="T43" s="12"/>
      <c r="U43" s="208"/>
      <c r="V43" s="94"/>
    </row>
    <row r="44" spans="1:22" outlineLevel="1" x14ac:dyDescent="0.25">
      <c r="A44" s="205" t="str">
        <f>"TBN, Post-doc ("&amp;J44&amp;")"</f>
        <v>TBN, Post-doc ()</v>
      </c>
      <c r="B44" s="55"/>
      <c r="C44" s="55"/>
      <c r="D44" s="206"/>
      <c r="E44" s="206"/>
      <c r="F44" s="206"/>
      <c r="G44" s="203"/>
      <c r="H44" s="210"/>
      <c r="I44" s="207" t="s">
        <v>16</v>
      </c>
      <c r="J44" s="24"/>
      <c r="K44" s="125"/>
      <c r="L44" s="125"/>
      <c r="M44" s="125"/>
      <c r="N44" s="125"/>
      <c r="O44" s="15"/>
      <c r="P44" s="157"/>
      <c r="Q44" s="157"/>
      <c r="R44" s="12"/>
      <c r="S44" s="12"/>
      <c r="T44" s="12"/>
      <c r="U44" s="94"/>
      <c r="V44" s="94"/>
    </row>
    <row r="45" spans="1:22" outlineLevel="1" x14ac:dyDescent="0.25">
      <c r="A45" s="209" t="str">
        <f>ROUND(J45*100,2)&amp;"% FY Effort, "&amp;ROUND(J45*12,2)&amp;" Calendar Months"</f>
        <v>0% FY Effort, 0 Calendar Months</v>
      </c>
      <c r="B45" s="55">
        <f>J44*O44*J45</f>
        <v>0</v>
      </c>
      <c r="C45" s="55">
        <f>IF($J$5&gt;1, O44*K45*(1+$O$5), 0)</f>
        <v>0</v>
      </c>
      <c r="D45" s="55">
        <f>IF($J$5&gt;2, O44*L45*(1+$O$5)^2, 0)</f>
        <v>0</v>
      </c>
      <c r="E45" s="55">
        <f>IF($J$5&gt;3, O44*M45*(1+$O$5)^3, 0)</f>
        <v>0</v>
      </c>
      <c r="F45" s="55">
        <f>IF($J$5&gt;4, O44*N45*(1+$O$5)^4, 0)</f>
        <v>0</v>
      </c>
      <c r="G45" s="203">
        <f>SUM(B45:F45)</f>
        <v>0</v>
      </c>
      <c r="H45" s="210"/>
      <c r="I45" s="220" t="s">
        <v>26</v>
      </c>
      <c r="J45" s="26">
        <v>0</v>
      </c>
      <c r="K45" s="26">
        <f>IF($J$5&gt;1,J45,0)</f>
        <v>0</v>
      </c>
      <c r="L45" s="26">
        <f>IF($J$5&gt;2,K45,0)</f>
        <v>0</v>
      </c>
      <c r="M45" s="26">
        <f>IF($J$5&gt;3,L45,0)</f>
        <v>0</v>
      </c>
      <c r="N45" s="26">
        <f>IF($J$5&gt;4,M45,0)</f>
        <v>0</v>
      </c>
      <c r="O45" s="22"/>
      <c r="P45" s="157"/>
      <c r="Q45" s="157"/>
      <c r="R45" s="12"/>
      <c r="S45" s="12"/>
      <c r="T45" s="12"/>
      <c r="U45" s="94"/>
      <c r="V45" s="94"/>
    </row>
    <row r="46" spans="1:22" outlineLevel="1" x14ac:dyDescent="0.25">
      <c r="A46" s="209"/>
      <c r="B46" s="55"/>
      <c r="C46" s="55"/>
      <c r="D46" s="56"/>
      <c r="E46" s="56"/>
      <c r="F46" s="56"/>
      <c r="G46" s="203"/>
      <c r="H46" s="210"/>
      <c r="I46" s="221"/>
      <c r="J46" s="1"/>
      <c r="K46" s="1"/>
      <c r="L46" s="1"/>
      <c r="M46" s="1"/>
      <c r="N46" s="1"/>
      <c r="O46" s="49" t="s">
        <v>51</v>
      </c>
      <c r="P46" s="157"/>
      <c r="Q46" s="157"/>
      <c r="R46" s="12"/>
      <c r="S46" s="12"/>
      <c r="T46" s="12"/>
      <c r="U46" s="94"/>
      <c r="V46" s="94"/>
    </row>
    <row r="47" spans="1:22" outlineLevel="1" x14ac:dyDescent="0.25">
      <c r="A47" s="205" t="str">
        <f>"TBN, Post-doc ("&amp;J47&amp;")"</f>
        <v>TBN, Post-doc ()</v>
      </c>
      <c r="B47" s="55"/>
      <c r="C47" s="55"/>
      <c r="D47" s="56"/>
      <c r="E47" s="56"/>
      <c r="F47" s="56"/>
      <c r="G47" s="203"/>
      <c r="H47" s="210"/>
      <c r="I47" s="207" t="s">
        <v>16</v>
      </c>
      <c r="J47" s="24"/>
      <c r="K47" s="125"/>
      <c r="L47" s="125"/>
      <c r="M47" s="125"/>
      <c r="N47" s="125"/>
      <c r="O47" s="15"/>
      <c r="P47" s="157"/>
      <c r="Q47" s="157"/>
      <c r="R47" s="12"/>
      <c r="S47" s="12"/>
      <c r="T47" s="12"/>
      <c r="U47" s="94"/>
      <c r="V47" s="94"/>
    </row>
    <row r="48" spans="1:22" outlineLevel="1" x14ac:dyDescent="0.25">
      <c r="A48" s="209" t="str">
        <f>ROUND(J48*100,2)&amp;"% FY Effort, "&amp;ROUND(J48*12,2)&amp;" Calendar Months"</f>
        <v>0% FY Effort, 0 Calendar Months</v>
      </c>
      <c r="B48" s="55">
        <f>J47*O47*J48</f>
        <v>0</v>
      </c>
      <c r="C48" s="55">
        <f>IF($J$5&gt;1, O47*K48*(1+$O$5), 0)</f>
        <v>0</v>
      </c>
      <c r="D48" s="55">
        <f>IF($J$5&gt;2, O47*L48*(1+$O$5)^2, 0)</f>
        <v>0</v>
      </c>
      <c r="E48" s="55">
        <f>IF($J$5&gt;3, O47*M48*(1+$O$5)^3, 0)</f>
        <v>0</v>
      </c>
      <c r="F48" s="55">
        <f>IF($J$5&gt;4, O47*N48*(1+$O$5)^4, 0)</f>
        <v>0</v>
      </c>
      <c r="G48" s="203">
        <f>SUM(B48:F48)</f>
        <v>0</v>
      </c>
      <c r="H48" s="210"/>
      <c r="I48" s="220" t="s">
        <v>26</v>
      </c>
      <c r="J48" s="26">
        <v>0</v>
      </c>
      <c r="K48" s="26">
        <f>IF($J$5&gt;1,J48,0)</f>
        <v>0</v>
      </c>
      <c r="L48" s="26">
        <f>IF($J$5&gt;2,K48,0)</f>
        <v>0</v>
      </c>
      <c r="M48" s="26">
        <f>IF($J$5&gt;3,L48,0)</f>
        <v>0</v>
      </c>
      <c r="N48" s="26">
        <f>IF($J$5&gt;4,M48,0)</f>
        <v>0</v>
      </c>
      <c r="O48" s="22"/>
      <c r="P48" s="157"/>
      <c r="Q48" s="157"/>
      <c r="R48" s="12"/>
      <c r="S48" s="12"/>
      <c r="T48" s="12"/>
      <c r="U48" s="94"/>
      <c r="V48" s="94"/>
    </row>
    <row r="49" spans="1:22" outlineLevel="1" x14ac:dyDescent="0.25">
      <c r="A49" s="209"/>
      <c r="B49" s="55"/>
      <c r="C49" s="55"/>
      <c r="D49" s="55"/>
      <c r="E49" s="55"/>
      <c r="F49" s="55"/>
      <c r="G49" s="203"/>
      <c r="H49" s="210"/>
      <c r="I49" s="221"/>
      <c r="J49" s="1"/>
      <c r="K49" s="1"/>
      <c r="L49" s="1"/>
      <c r="M49" s="1"/>
      <c r="N49" s="1"/>
      <c r="O49" s="49" t="s">
        <v>51</v>
      </c>
      <c r="P49" s="157"/>
      <c r="Q49" s="157"/>
      <c r="R49" s="12"/>
      <c r="S49" s="12"/>
      <c r="T49" s="12"/>
      <c r="U49" s="94"/>
      <c r="V49" s="94"/>
    </row>
    <row r="50" spans="1:22" outlineLevel="1" x14ac:dyDescent="0.25">
      <c r="A50" s="205" t="str">
        <f>"TBN, Post-doc ("&amp;J50&amp;")"</f>
        <v>TBN, Post-doc ()</v>
      </c>
      <c r="B50" s="55"/>
      <c r="C50" s="55"/>
      <c r="D50" s="55"/>
      <c r="E50" s="55"/>
      <c r="F50" s="55"/>
      <c r="G50" s="203"/>
      <c r="H50" s="210"/>
      <c r="I50" s="207" t="s">
        <v>16</v>
      </c>
      <c r="J50" s="24"/>
      <c r="K50" s="125"/>
      <c r="L50" s="125"/>
      <c r="M50" s="125"/>
      <c r="N50" s="125"/>
      <c r="O50" s="15"/>
      <c r="P50" s="157"/>
      <c r="Q50" s="157"/>
      <c r="R50" s="12"/>
      <c r="S50" s="12"/>
      <c r="T50" s="12"/>
      <c r="U50" s="94"/>
      <c r="V50" s="94"/>
    </row>
    <row r="51" spans="1:22" outlineLevel="1" x14ac:dyDescent="0.25">
      <c r="A51" s="209" t="str">
        <f>ROUND(J51*100,2)&amp;"% FY Effort, "&amp;ROUND(J51*12,2)&amp;" Calendar Months"</f>
        <v>0% FY Effort, 0 Calendar Months</v>
      </c>
      <c r="B51" s="55">
        <f>J50*O50*J51</f>
        <v>0</v>
      </c>
      <c r="C51" s="55">
        <f>IF($J$5&gt;1, O50*K51*(1+$O$5), 0)</f>
        <v>0</v>
      </c>
      <c r="D51" s="55">
        <f>IF($J$5&gt;2, O50*L51*(1+$O$5)^2, 0)</f>
        <v>0</v>
      </c>
      <c r="E51" s="55">
        <f>IF($J$5&gt;3, O50*M51*(1+$O$5)^3, 0)</f>
        <v>0</v>
      </c>
      <c r="F51" s="55">
        <f>IF($J$5&gt;4, O50*N51*(1+$O$5)^4, 0)</f>
        <v>0</v>
      </c>
      <c r="G51" s="203">
        <f>SUM(B51:F51)</f>
        <v>0</v>
      </c>
      <c r="H51" s="210"/>
      <c r="I51" s="220" t="s">
        <v>26</v>
      </c>
      <c r="J51" s="26">
        <v>0</v>
      </c>
      <c r="K51" s="26">
        <f>IF($J$5&gt;1,J51,0)</f>
        <v>0</v>
      </c>
      <c r="L51" s="26">
        <f>IF($J$5&gt;2,K51,0)</f>
        <v>0</v>
      </c>
      <c r="M51" s="26">
        <f>IF($J$5&gt;3,L51,0)</f>
        <v>0</v>
      </c>
      <c r="N51" s="26">
        <f>IF($J$5&gt;4,M51,0)</f>
        <v>0</v>
      </c>
      <c r="O51" s="22"/>
      <c r="P51" s="157"/>
      <c r="Q51" s="157"/>
      <c r="R51" s="12"/>
      <c r="S51" s="12"/>
      <c r="T51" s="12"/>
      <c r="U51" s="94"/>
      <c r="V51" s="94"/>
    </row>
    <row r="52" spans="1:22" outlineLevel="1" x14ac:dyDescent="0.25">
      <c r="B52" s="55"/>
      <c r="C52" s="55"/>
      <c r="D52" s="56"/>
      <c r="E52" s="56"/>
      <c r="F52" s="56"/>
      <c r="G52" s="203"/>
      <c r="H52" s="210"/>
      <c r="I52" s="197" t="s">
        <v>48</v>
      </c>
      <c r="J52" s="105" t="b">
        <f>IF(J54&gt;0%,IF(J54&lt;50%,IF(J54&gt;0,($U$3/2),0),$U$3),IF(J55&gt;0%,IF(J55&lt;50%,IF(J55&gt;0,($U$3/2),0),$U$3)))</f>
        <v>0</v>
      </c>
      <c r="K52" s="105" t="b">
        <f>IF(K54&gt;0%,IF(K54&lt;50%,IF(K54&gt;0,(($U$3*(1+$V$3))/2),0),($U$3*(1+$V$3))),IF(K55&gt;0%,IF(K55&lt;50%,IF(K55&gt;0,(($U$3*(1+$V$3))/2),0),($U$3*(1+$V$3)))))</f>
        <v>0</v>
      </c>
      <c r="L52" s="105" t="b">
        <f>IF(L54&gt;0%,IF(L54&lt;50%,IF(L54&gt;0,(($U$3*(1+$V$3)^2)/2),0),($U$3*(1+$V$3)^2)),IF(L55&gt;0%,IF(L55&lt;50%,IF(L55&gt;0,(($U$3*(1+$V$3)^2)/2),0),($U$3*(1+$V$3)^2))))</f>
        <v>0</v>
      </c>
      <c r="M52" s="105" t="b">
        <f>IF(M54&gt;0%,IF(M54&lt;50%,IF(M54&gt;0,(($U$3*(1+$V$3)^3)/2),0),($U$3*(1+$V$3)^3)),IF(M55&gt;0%,IF(M55&lt;50%,IF(M55&gt;0,(($U$3*(1+$V$3)^3)/2),0),($U$3*(1+$V$3)^3))))</f>
        <v>0</v>
      </c>
      <c r="N52" s="105" t="b">
        <f>IF(N54&gt;0%,IF(N54&lt;50%,IF(N54&gt;0,(($U$3*(1+$V$3)^4)/2),0),($U$3*(1+$V$3)^4)),IF(N55&gt;0%,IF(N55&lt;50%,IF(N55&gt;0,(($U$3*(1+$V$3)^4)/2),0),($U$3*(1+$V$3)^4))))</f>
        <v>0</v>
      </c>
      <c r="O52" s="49" t="s">
        <v>51</v>
      </c>
      <c r="P52" s="153"/>
      <c r="Q52" s="153"/>
      <c r="R52" s="12"/>
      <c r="S52" s="222"/>
      <c r="T52"/>
      <c r="U52"/>
      <c r="V52" s="94"/>
    </row>
    <row r="53" spans="1:22" outlineLevel="1" x14ac:dyDescent="0.25">
      <c r="A53" s="205" t="s">
        <v>85</v>
      </c>
      <c r="B53" s="55"/>
      <c r="C53" s="55"/>
      <c r="D53" s="56"/>
      <c r="E53" s="56"/>
      <c r="F53" s="56"/>
      <c r="G53" s="203"/>
      <c r="H53" s="210"/>
      <c r="I53" s="207" t="s">
        <v>128</v>
      </c>
      <c r="J53" s="5">
        <f>IF($U53="F",J54*12,SUM(J55*9,J56))</f>
        <v>0</v>
      </c>
      <c r="K53" s="5">
        <f>IF($U53="F",K54*12,SUM(K55*9,K56))</f>
        <v>0</v>
      </c>
      <c r="L53" s="5">
        <f>IF($U53="F",L54*12,SUM(L55*9,L56))</f>
        <v>0</v>
      </c>
      <c r="M53" s="5">
        <f>IF($U53="F",M54*12,SUM(M55*9,M56))</f>
        <v>0</v>
      </c>
      <c r="N53" s="5">
        <f>IF($U53="F",N54*12,SUM(N55*9,N56))</f>
        <v>0</v>
      </c>
      <c r="O53" s="49"/>
      <c r="P53" s="153" t="s">
        <v>126</v>
      </c>
      <c r="Q53" s="153" t="s">
        <v>127</v>
      </c>
      <c r="R53" s="12"/>
      <c r="S53" s="12"/>
      <c r="T53" s="215">
        <v>0</v>
      </c>
      <c r="U53" s="216"/>
    </row>
    <row r="54" spans="1:22" outlineLevel="1" x14ac:dyDescent="0.25">
      <c r="A54" s="209" t="str">
        <f>ROUND(P54*100, 2)&amp;"% Avg. Fiscal Effort, "&amp;ROUND(Q54, 2)&amp;" Avg. Calendar Months"</f>
        <v>0% Avg. Fiscal Effort, 0 Avg. Calendar Months</v>
      </c>
      <c r="B54" s="55">
        <f>O54*J54</f>
        <v>0</v>
      </c>
      <c r="C54" s="55">
        <f>IF($J$5&gt;1,IF($U$2&lt;&gt;0,IF(O54*(1+$O$5)&lt;=$U$2,O54*K54*(1+$O$5),$U$2*K54),O54*K54*(1+$O$5)),0)</f>
        <v>0</v>
      </c>
      <c r="D54" s="55">
        <f>IF($J$5&gt;2,IF($U$2&lt;&gt;0,IF(O54*(1+$O$5)^2&lt;=$U$2,O54*L54*(1+$O$5)^2,$U$2*L54),O54*L54*(1+$O$5)^2),0)</f>
        <v>0</v>
      </c>
      <c r="E54" s="55">
        <f>IF($J$5&gt;3,IF($U$2&lt;&gt;0,IF(O54*(1+$O$5)^3&lt;=$U$2,O54*M54*(1+$O$5)^3,$U$2*M54),O54*M54*(1+$O$5)^3),0)</f>
        <v>0</v>
      </c>
      <c r="F54" s="55">
        <f>IF($J$5&gt;4,IF($U$2&lt;&gt;0,IF(O54*(1+$O$5)^4&lt;=$U$2,O54*N54*(1+$O$5)^4,$U$2*N54),O54*N54*(1+$O$5)^4),0)</f>
        <v>0</v>
      </c>
      <c r="G54" s="203">
        <f>SUM(B54:F54)</f>
        <v>0</v>
      </c>
      <c r="H54" s="210"/>
      <c r="I54" s="207" t="s">
        <v>26</v>
      </c>
      <c r="J54" s="17">
        <v>0</v>
      </c>
      <c r="K54" s="17">
        <f>IF($J$5&gt;1,J54,0)</f>
        <v>0</v>
      </c>
      <c r="L54" s="17">
        <f>IF($J$5&gt;2,K54,0)</f>
        <v>0</v>
      </c>
      <c r="M54" s="17">
        <f>IF($J$5&gt;3,L54,0)</f>
        <v>0</v>
      </c>
      <c r="N54" s="17">
        <f>IF($J$5&gt;4,M54,0)</f>
        <v>0</v>
      </c>
      <c r="O54" s="145">
        <f>IF(U53="F",IF($U$2&lt;&gt;0,IF(T53&gt;$U$2,$U$2,T53),T53),0)</f>
        <v>0</v>
      </c>
      <c r="P54" s="157">
        <f>SUM(J53:N53)/(ROUNDUP($J$5,0)*12)</f>
        <v>0</v>
      </c>
      <c r="Q54" s="156">
        <f>(SUM(J53:N53)/(CEILING($J$5*12,12)))*12</f>
        <v>0</v>
      </c>
      <c r="R54" s="12"/>
      <c r="S54" s="12"/>
      <c r="T54" s="208"/>
      <c r="U54" s="94"/>
      <c r="V54" s="94"/>
    </row>
    <row r="55" spans="1:22" outlineLevel="1" x14ac:dyDescent="0.25">
      <c r="A55" s="495" t="str">
        <f>ROUND(P54*100,2)&amp;"% Annualized Effort, "&amp;ROUND(Q55,2)&amp;" Avg. Academic Months
"&amp;IF(SUM(J56:N56)&gt;0," and "&amp;Q56 &amp;" Avg. Summer Months", "")</f>
        <v xml:space="preserve">0% Annualized Effort, 0 Avg. Academic Months
</v>
      </c>
      <c r="B55" s="55">
        <f>J55*O55</f>
        <v>0</v>
      </c>
      <c r="C55" s="55">
        <f>IF($J$5&gt;1,IF($U$2&lt;&gt;0,IF(O55*(1+$O$5)&lt;=$U$2*0.75,O55*K55*(1+$O$5),$U$2*0.75*K55),O55*K55*(1+$O$5)),0)</f>
        <v>0</v>
      </c>
      <c r="D55" s="55">
        <f>IF($J$5&gt;2,IF($U$2&lt;&gt;0,IF(O55*(1+$O$5)^2&lt;=$U$2*0.75,O55*L55*(1+$O$5)^2,$U$2*0.75*L55),O55*L55*(1+$O$5)^2),0)</f>
        <v>0</v>
      </c>
      <c r="E55" s="55">
        <f>IF($J$5&gt;3,IF($U$2&lt;&gt;0,IF(O55*(1+$O$5)^3&lt;=$U$2*0.75,O55*M55*(1+$O$5)^3,$U$2*0.75*M55),O55*M55*(1+$O$5)^3),0)</f>
        <v>0</v>
      </c>
      <c r="F55" s="55">
        <f>IF($J$5&gt;4,IF($U$2&lt;&gt;0,IF(O55*(1+$O$5)^4&lt;=$U$2*0.75,O55*N55*(1+$O$5)^4,$U$2*0.75*N55),O55*N55*(1+$O$5)^4),0)</f>
        <v>0</v>
      </c>
      <c r="G55" s="203">
        <f>SUM(B55:F55)</f>
        <v>0</v>
      </c>
      <c r="H55" s="210"/>
      <c r="I55" s="207" t="s">
        <v>15</v>
      </c>
      <c r="J55" s="17">
        <v>0</v>
      </c>
      <c r="K55" s="17">
        <f>IF($J$5&gt;1,J55,0)</f>
        <v>0</v>
      </c>
      <c r="L55" s="17">
        <f>IF($J$5&gt;2,K55,0)</f>
        <v>0</v>
      </c>
      <c r="M55" s="17">
        <f>IF($J$5&gt;3,L55,0)</f>
        <v>0</v>
      </c>
      <c r="N55" s="17">
        <f>IF($J$5&gt;4,M55,0)</f>
        <v>0</v>
      </c>
      <c r="O55" s="145">
        <f>IF(U53="A",IF($U$2&lt;&gt;0,IF(T53&gt;($U$2/12*9),($U$2/12*9),T53),T53),0)</f>
        <v>0</v>
      </c>
      <c r="P55" s="211"/>
      <c r="Q55" s="156">
        <f>((SUM(J53:N53)-SUM(J56:N56))/(CEILING($J$5*9,9)))*9</f>
        <v>0</v>
      </c>
      <c r="R55" s="12"/>
      <c r="S55" s="12"/>
      <c r="T55" s="208"/>
      <c r="U55" s="94"/>
      <c r="V55" s="94"/>
    </row>
    <row r="56" spans="1:22" outlineLevel="1" x14ac:dyDescent="0.25">
      <c r="A56" s="495"/>
      <c r="B56" s="55">
        <f>J56/3*O56</f>
        <v>0</v>
      </c>
      <c r="C56" s="55">
        <f>IF($J$5&gt;1,IF($U$2&lt;&gt;0,IF(O56*(1+$O$5)&lt;=$U$2*0.25,O56*K56/3*(1+$O$5),$U$2*0.25*K56/3),O56*K56/3*(1+$O$5)),0)</f>
        <v>0</v>
      </c>
      <c r="D56" s="55">
        <f>IF($J$5&gt;2,IF($U$2&lt;&gt;0,IF(O56*(1+$O$5)^2&lt;=$U$2*0.25,O56*L56/3*(1+$O$5)^2,$U$2*0.25*L56/3),O56*L56/3*(1+$O$5)^2),0)</f>
        <v>0</v>
      </c>
      <c r="E56" s="55">
        <f>IF($J$5&gt;3,IF($U$2&lt;&gt;0,IF(O56*(1+$O$5)^3&lt;=$U$2*0.25,O56*M56/3*(1+$O$5)^3,$U$2*0.25*M56/3),O56*M56/3*(1+$O$5)^3),0)</f>
        <v>0</v>
      </c>
      <c r="F56" s="55">
        <f>IF($J$5&gt;4,IF($U$2&lt;&gt;0,IF(O56*(1+$O$5)^4&lt;=$U$2*0.25,O56*N56/3*(1+$O$5)^4,$U$2*0.25*N56/3),O56*N56/3*(1+$O$5)^4),0)</f>
        <v>0</v>
      </c>
      <c r="G56" s="203">
        <f>SUM(B56:F56)</f>
        <v>0</v>
      </c>
      <c r="H56" s="210"/>
      <c r="I56" s="220" t="s">
        <v>17</v>
      </c>
      <c r="J56" s="188">
        <v>0</v>
      </c>
      <c r="K56" s="188">
        <f>IF($J$5&gt;1,J56,0)</f>
        <v>0</v>
      </c>
      <c r="L56" s="188">
        <f>IF($J$5&gt;2,K56,0)</f>
        <v>0</v>
      </c>
      <c r="M56" s="188">
        <f>IF($J$5&gt;3,L56,0)</f>
        <v>0</v>
      </c>
      <c r="N56" s="188">
        <f>IF($J$5&gt;4,M56,0)</f>
        <v>0</v>
      </c>
      <c r="O56" s="167">
        <f>IF(U53="A",IF($U$2&lt;&gt;0,IF(T53/9*3&gt;($U$2/12*3),($U$2/12*3),T53/9*3),T53/9*3),0)</f>
        <v>0</v>
      </c>
      <c r="P56" s="157"/>
      <c r="Q56" s="157">
        <f>((SUM(J53:N53)-SUM(J55:N55)*9)/(CEILING($J$5*3,3)))*3</f>
        <v>0</v>
      </c>
      <c r="R56" s="12"/>
      <c r="S56" s="12"/>
      <c r="T56" s="12"/>
      <c r="U56" s="94"/>
      <c r="V56" s="217"/>
    </row>
    <row r="57" spans="1:22" outlineLevel="1" x14ac:dyDescent="0.25">
      <c r="B57" s="55"/>
      <c r="C57" s="55"/>
      <c r="D57" s="56"/>
      <c r="E57" s="56"/>
      <c r="F57" s="56"/>
      <c r="G57" s="203"/>
      <c r="H57" s="210"/>
      <c r="I57" s="197" t="s">
        <v>48</v>
      </c>
      <c r="J57" s="105" t="b">
        <f>IF(J59&gt;0%,IF(J59&lt;50%,IF(J59&gt;0,($U$3/2),0),$U$3),IF(J60&gt;0%,IF(J60&lt;50%,IF(J60&gt;0,($U$3/2),0),$U$3)))</f>
        <v>0</v>
      </c>
      <c r="K57" s="105" t="b">
        <f>IF(K59&gt;0%,IF(K59&lt;50%,IF(K59&gt;0,(($U$3*(1+$V$3))/2),0),($U$3*(1+$V$3))),IF(K60&gt;0%,IF(K60&lt;50%,IF(K60&gt;0,(($U$3*(1+$V$3))/2),0),($U$3*(1+$V$3)))))</f>
        <v>0</v>
      </c>
      <c r="L57" s="105" t="b">
        <f>IF(L59&gt;0%,IF(L59&lt;50%,IF(L59&gt;0,(($U$3*(1+$V$3)^2)/2),0),($U$3*(1+$V$3)^2)),IF(L60&gt;0%,IF(L60&lt;50%,IF(L60&gt;0,(($U$3*(1+$V$3)^2)/2),0),($U$3*(1+$V$3)^2))))</f>
        <v>0</v>
      </c>
      <c r="M57" s="105" t="b">
        <f>IF(M59&gt;0%,IF(M59&lt;50%,IF(M59&gt;0,(($U$3*(1+$V$3)^3)/2),0),($U$3*(1+$V$3)^3)),IF(M60&gt;0%,IF(M60&lt;50%,IF(M60&gt;0,(($U$3*(1+$V$3)^3)/2),0),($U$3*(1+$V$3)^3))))</f>
        <v>0</v>
      </c>
      <c r="N57" s="105" t="b">
        <f>IF(N59&gt;0%,IF(N59&lt;50%,IF(N59&gt;0,(($U$3*(1+$V$3)^4)/2),0),($U$3*(1+$V$3)^4)),IF(N60&gt;0%,IF(N60&lt;50%,IF(N60&gt;0,(($U$3*(1+$V$3)^4)/2),0),($U$3*(1+$V$3)^4))))</f>
        <v>0</v>
      </c>
      <c r="O57" s="49" t="s">
        <v>51</v>
      </c>
      <c r="P57" s="153"/>
      <c r="Q57" s="153"/>
      <c r="R57" s="12"/>
      <c r="S57" s="222"/>
      <c r="T57" s="12"/>
    </row>
    <row r="58" spans="1:22" outlineLevel="1" x14ac:dyDescent="0.25">
      <c r="A58" s="205" t="s">
        <v>85</v>
      </c>
      <c r="B58" s="55"/>
      <c r="C58" s="55"/>
      <c r="D58" s="56"/>
      <c r="E58" s="56"/>
      <c r="F58" s="56"/>
      <c r="G58" s="203"/>
      <c r="H58" s="210"/>
      <c r="I58" s="207" t="s">
        <v>128</v>
      </c>
      <c r="J58" s="5">
        <f>IF($U58="F",J59*12,SUM(J60*9,J61))</f>
        <v>0</v>
      </c>
      <c r="K58" s="5">
        <f>IF($U58="F",K59*12,SUM(K60*9,K61))</f>
        <v>0</v>
      </c>
      <c r="L58" s="5">
        <f>IF($U58="F",L59*12,SUM(L60*9,L61))</f>
        <v>0</v>
      </c>
      <c r="M58" s="5">
        <f>IF($U58="F",M59*12,SUM(M60*9,M61))</f>
        <v>0</v>
      </c>
      <c r="N58" s="5">
        <f>IF($U58="F",N59*12,SUM(N60*9,N61))</f>
        <v>0</v>
      </c>
      <c r="O58" s="49"/>
      <c r="P58" s="153" t="s">
        <v>126</v>
      </c>
      <c r="Q58" s="153" t="s">
        <v>127</v>
      </c>
      <c r="R58" s="12"/>
      <c r="S58" s="12"/>
      <c r="T58" s="215">
        <v>0</v>
      </c>
      <c r="U58" s="216"/>
    </row>
    <row r="59" spans="1:22" outlineLevel="1" x14ac:dyDescent="0.25">
      <c r="A59" s="209" t="str">
        <f>ROUND(P59*100, 2)&amp;"% Avg. Fiscal Effort, "&amp;ROUND(Q59, 2)&amp;" Avg. Calendar Months"</f>
        <v>0% Avg. Fiscal Effort, 0 Avg. Calendar Months</v>
      </c>
      <c r="B59" s="55">
        <f>O59*J59</f>
        <v>0</v>
      </c>
      <c r="C59" s="55">
        <f>IF($J$5&gt;1,IF($U$2&lt;&gt;0,IF(O59*(1+$O$5)&lt;=$U$2,O59*K59*(1+$O$5),$U$2*K59),O59*K59*(1+$O$5)),0)</f>
        <v>0</v>
      </c>
      <c r="D59" s="55">
        <f>IF($J$5&gt;2,IF($U$2&lt;&gt;0,IF(O59*(1+$O$5)^2&lt;=$U$2,O59*L59*(1+$O$5)^2,$U$2*L59),O59*L59*(1+$O$5)^2),0)</f>
        <v>0</v>
      </c>
      <c r="E59" s="55">
        <f>IF($J$5&gt;3,IF($U$2&lt;&gt;0,IF(O59*(1+$O$5)^3&lt;=$U$2,O59*M59*(1+$O$5)^3,$U$2*M59),O59*M59*(1+$O$5)^3),0)</f>
        <v>0</v>
      </c>
      <c r="F59" s="55">
        <f>IF($J$5&gt;4,IF($U$2&lt;&gt;0,IF(O59*(1+$O$5)^4&lt;=$U$2,O59*N59*(1+$O$5)^4,$U$2*N59),O59*N59*(1+$O$5)^4),0)</f>
        <v>0</v>
      </c>
      <c r="G59" s="203">
        <f>SUM(B59:F59)</f>
        <v>0</v>
      </c>
      <c r="H59" s="210"/>
      <c r="I59" s="207" t="s">
        <v>26</v>
      </c>
      <c r="J59" s="17">
        <v>0</v>
      </c>
      <c r="K59" s="17">
        <f>IF($J$5&gt;1,J59,0)</f>
        <v>0</v>
      </c>
      <c r="L59" s="17">
        <f>IF($J$5&gt;2,K59,0)</f>
        <v>0</v>
      </c>
      <c r="M59" s="17">
        <f>IF($J$5&gt;3,L59,0)</f>
        <v>0</v>
      </c>
      <c r="N59" s="17">
        <f>IF($J$5&gt;4,M59,0)</f>
        <v>0</v>
      </c>
      <c r="O59" s="145">
        <f>IF(U58="F",IF($U$2&lt;&gt;0,IF(T58&gt;$U$2,$U$2,T58),T58),0)</f>
        <v>0</v>
      </c>
      <c r="P59" s="157">
        <f>SUM(J58:N58)/(ROUNDUP($J$5,0)*12)</f>
        <v>0</v>
      </c>
      <c r="Q59" s="156">
        <f>(SUM(J58:N58)/(CEILING($J$5*12,12)))*12</f>
        <v>0</v>
      </c>
      <c r="R59" s="12"/>
      <c r="S59" s="12"/>
      <c r="T59" s="208"/>
      <c r="U59" s="94"/>
      <c r="V59" s="94"/>
    </row>
    <row r="60" spans="1:22" outlineLevel="1" x14ac:dyDescent="0.25">
      <c r="A60" s="495" t="str">
        <f>ROUND(P59*100,2)&amp;"% Annualized Effort, "&amp;ROUND(Q60,2)&amp;" Avg. Academic Months
"&amp;IF(SUM(J61:N61)&gt;0," and "&amp;Q61 &amp;" Avg. Summer Months", "")</f>
        <v xml:space="preserve">0% Annualized Effort, 0 Avg. Academic Months
</v>
      </c>
      <c r="B60" s="55">
        <f>J60*O60</f>
        <v>0</v>
      </c>
      <c r="C60" s="55">
        <f>IF($J$5&gt;1,IF($U$2&lt;&gt;0,IF(O60*(1+$O$5)&lt;=$U$2*0.75,O60*K60*(1+$O$5),$U$2*0.75*K60),O60*K60*(1+$O$5)),0)</f>
        <v>0</v>
      </c>
      <c r="D60" s="55">
        <f>IF($J$5&gt;2,IF($U$2&lt;&gt;0,IF(O60*(1+$O$5)^2&lt;=$U$2*0.75,O60*L60*(1+$O$5)^2,$U$2*0.75*L60),O60*L60*(1+$O$5)^2),0)</f>
        <v>0</v>
      </c>
      <c r="E60" s="55">
        <f>IF($J$5&gt;3,IF($U$2&lt;&gt;0,IF(O60*(1+$O$5)^3&lt;=$U$2*0.75,O60*M60*(1+$O$5)^3,$U$2*0.75*M60),O60*M60*(1+$O$5)^3),0)</f>
        <v>0</v>
      </c>
      <c r="F60" s="55">
        <f>IF($J$5&gt;4,IF($U$2&lt;&gt;0,IF(O60*(1+$O$5)^4&lt;=$U$2*0.75,O60*N60*(1+$O$5)^4,$U$2*0.75*N60),O60*N60*(1+$O$5)^4),0)</f>
        <v>0</v>
      </c>
      <c r="G60" s="203">
        <f>SUM(B60:F60)</f>
        <v>0</v>
      </c>
      <c r="H60" s="210"/>
      <c r="I60" s="207" t="s">
        <v>15</v>
      </c>
      <c r="J60" s="17">
        <v>0</v>
      </c>
      <c r="K60" s="17">
        <f>IF($J$5&gt;1,J60,0)</f>
        <v>0</v>
      </c>
      <c r="L60" s="17">
        <f>IF($J$5&gt;2,K60,0)</f>
        <v>0</v>
      </c>
      <c r="M60" s="17">
        <f>IF($J$5&gt;3,L60,0)</f>
        <v>0</v>
      </c>
      <c r="N60" s="17">
        <f>IF($J$5&gt;4,M60,0)</f>
        <v>0</v>
      </c>
      <c r="O60" s="145">
        <f>IF(U58="A",IF($U$2&lt;&gt;0,IF(T58&gt;($U$2/12*9),($U$2/12*9),T58),T58),0)</f>
        <v>0</v>
      </c>
      <c r="P60" s="211"/>
      <c r="Q60" s="156">
        <f>((SUM(J58:N58)-SUM(J61:N61))/(CEILING($J$5*9,9)))*9</f>
        <v>0</v>
      </c>
      <c r="R60" s="12"/>
      <c r="S60" s="12"/>
      <c r="T60" s="208"/>
      <c r="U60" s="94"/>
      <c r="V60" s="94"/>
    </row>
    <row r="61" spans="1:22" outlineLevel="1" x14ac:dyDescent="0.25">
      <c r="A61" s="495"/>
      <c r="B61" s="55">
        <f>J61/3*O61</f>
        <v>0</v>
      </c>
      <c r="C61" s="55">
        <f>IF($J$5&gt;1,IF($U$2&lt;&gt;0,IF(O61*(1+$O$5)&lt;=$U$2*0.25,O61*K61/3*(1+$O$5),$U$2*0.25*K61/3),O61*K61/3*(1+$O$5)),0)</f>
        <v>0</v>
      </c>
      <c r="D61" s="55">
        <f>IF($J$5&gt;2,IF($U$2&lt;&gt;0,IF(O61*(1+$O$5)^2&lt;=$U$2*0.25,O61*L61/3*(1+$O$5)^2,$U$2*0.25*L61/3),O61*L61/3*(1+$O$5)^2),0)</f>
        <v>0</v>
      </c>
      <c r="E61" s="55">
        <f>IF($J$5&gt;3,IF($U$2&lt;&gt;0,IF(O61*(1+$O$5)^3&lt;=$U$2*0.25,O61*M61/3*(1+$O$5)^3,$U$2*0.25*M61/3),O61*M61/3*(1+$O$5)^3),0)</f>
        <v>0</v>
      </c>
      <c r="F61" s="55">
        <f>IF($J$5&gt;4,IF($U$2&lt;&gt;0,IF(O61*(1+$O$5)^4&lt;=$U$2*0.25,O61*N61/3*(1+$O$5)^4,$U$2*0.25*N61/3),O61*N61/3*(1+$O$5)^4),0)</f>
        <v>0</v>
      </c>
      <c r="G61" s="203">
        <f>SUM(B61:F61)</f>
        <v>0</v>
      </c>
      <c r="H61" s="210"/>
      <c r="I61" s="220" t="s">
        <v>17</v>
      </c>
      <c r="J61" s="188">
        <v>0</v>
      </c>
      <c r="K61" s="188">
        <f>IF($J$5&gt;1,J61,0)</f>
        <v>0</v>
      </c>
      <c r="L61" s="188">
        <f>IF($J$5&gt;2,K61,0)</f>
        <v>0</v>
      </c>
      <c r="M61" s="188">
        <f>IF($J$5&gt;3,L61,0)</f>
        <v>0</v>
      </c>
      <c r="N61" s="188">
        <f>IF($J$5&gt;4,M61,0)</f>
        <v>0</v>
      </c>
      <c r="O61" s="167">
        <f>IF(U58="A",IF($U$2&lt;&gt;0,IF(T58/9*3&gt;($U$2/12*3),($U$2/12*3),T58/9*3),T58/9*3),0)</f>
        <v>0</v>
      </c>
      <c r="P61" s="157"/>
      <c r="Q61" s="157">
        <f>((SUM(J58:N58)-SUM(J60:N60)*9)/(CEILING($J$5*3,3)))*3</f>
        <v>0</v>
      </c>
      <c r="R61" s="12"/>
      <c r="S61" s="12"/>
      <c r="T61" s="12"/>
      <c r="U61" s="94"/>
      <c r="V61" s="217"/>
    </row>
    <row r="62" spans="1:22" outlineLevel="1" x14ac:dyDescent="0.25">
      <c r="B62" s="55"/>
      <c r="C62" s="55"/>
      <c r="D62" s="55"/>
      <c r="E62" s="55"/>
      <c r="F62" s="55"/>
      <c r="G62" s="203"/>
      <c r="H62" s="210"/>
      <c r="I62" s="197" t="s">
        <v>48</v>
      </c>
      <c r="J62" s="105" t="b">
        <f>IF(J64&gt;0%,IF(J64&lt;50%,IF(J64&gt;0,($U$3/2),0),$U$3),IF(J65&gt;0%,IF(J65&lt;50%,IF(J65&gt;0,($U$3/2),0),$U$3)))</f>
        <v>0</v>
      </c>
      <c r="K62" s="105" t="b">
        <f>IF(K64&gt;0%,IF(K64&lt;50%,IF(K64&gt;0,(($U$3*(1+$V$3))/2),0),($U$3*(1+$V$3))),IF(K65&gt;0%,IF(K65&lt;50%,IF(K65&gt;0,(($U$3*(1+$V$3))/2),0),($U$3*(1+$V$3)))))</f>
        <v>0</v>
      </c>
      <c r="L62" s="105" t="b">
        <f>IF(L64&gt;0%,IF(L64&lt;50%,IF(L64&gt;0,(($U$3*(1+$V$3)^2)/2),0),($U$3*(1+$V$3)^2)),IF(L65&gt;0%,IF(L65&lt;50%,IF(L65&gt;0,(($U$3*(1+$V$3)^2)/2),0),($U$3*(1+$V$3)^2))))</f>
        <v>0</v>
      </c>
      <c r="M62" s="105" t="b">
        <f>IF(M64&gt;0%,IF(M64&lt;50%,IF(M64&gt;0,(($U$3*(1+$V$3)^3)/2),0),($U$3*(1+$V$3)^3)),IF(M65&gt;0%,IF(M65&lt;50%,IF(M65&gt;0,(($U$3*(1+$V$3)^3)/2),0),($U$3*(1+$V$3)^3))))</f>
        <v>0</v>
      </c>
      <c r="N62" s="105" t="b">
        <f>IF(N64&gt;0%,IF(N64&lt;50%,IF(N64&gt;0,(($U$3*(1+$V$3)^4)/2),0),($U$3*(1+$V$3)^4)),IF(N65&gt;0%,IF(N65&lt;50%,IF(N65&gt;0,(($U$3*(1+$V$3)^4)/2),0),($U$3*(1+$V$3)^4))))</f>
        <v>0</v>
      </c>
      <c r="O62" s="49" t="s">
        <v>51</v>
      </c>
      <c r="P62" s="153"/>
      <c r="Q62" s="153"/>
      <c r="R62" s="12"/>
      <c r="S62" s="222"/>
      <c r="T62" s="12"/>
    </row>
    <row r="63" spans="1:22" outlineLevel="1" x14ac:dyDescent="0.25">
      <c r="A63" s="205" t="s">
        <v>85</v>
      </c>
      <c r="B63" s="55"/>
      <c r="C63" s="55"/>
      <c r="D63" s="55"/>
      <c r="E63" s="55"/>
      <c r="F63" s="55"/>
      <c r="G63" s="203"/>
      <c r="H63" s="210"/>
      <c r="I63" s="207" t="s">
        <v>128</v>
      </c>
      <c r="J63" s="5">
        <f>IF($U63="F",J64*12,SUM(J65*9,J66))</f>
        <v>0</v>
      </c>
      <c r="K63" s="5">
        <f>IF($U63="F",K64*12,SUM(K65*9,K66))</f>
        <v>0</v>
      </c>
      <c r="L63" s="5">
        <f>IF($U63="F",L64*12,SUM(L65*9,L66))</f>
        <v>0</v>
      </c>
      <c r="M63" s="5">
        <f>IF($U63="F",M64*12,SUM(M65*9,M66))</f>
        <v>0</v>
      </c>
      <c r="N63" s="5">
        <f>IF($U63="F",N64*12,SUM(N65*9,N66))</f>
        <v>0</v>
      </c>
      <c r="O63" s="49"/>
      <c r="P63" s="153" t="s">
        <v>126</v>
      </c>
      <c r="Q63" s="153" t="s">
        <v>127</v>
      </c>
      <c r="R63" s="12"/>
      <c r="S63" s="12"/>
      <c r="T63" s="215">
        <v>0</v>
      </c>
      <c r="U63" s="216"/>
    </row>
    <row r="64" spans="1:22" outlineLevel="1" x14ac:dyDescent="0.25">
      <c r="A64" s="209" t="str">
        <f>ROUND(P64*100, 2)&amp;"% Avg. Fiscal Effort, "&amp;ROUND(Q64, 2)&amp;" Avg. Calendar Months"</f>
        <v>0% Avg. Fiscal Effort, 0 Avg. Calendar Months</v>
      </c>
      <c r="B64" s="55">
        <f>O64*J64</f>
        <v>0</v>
      </c>
      <c r="C64" s="55">
        <f>IF($J$5&gt;1,IF($U$2&lt;&gt;0,IF(O64*(1+$O$5)&lt;=$U$2,O64*K64*(1+$O$5),$U$2*K64),O64*K64*(1+$O$5)),0)</f>
        <v>0</v>
      </c>
      <c r="D64" s="55">
        <f>IF($J$5&gt;2,IF($U$2&lt;&gt;0,IF(O64*(1+$O$5)^2&lt;=$U$2,O64*L64*(1+$O$5)^2,$U$2*L64),O64*L64*(1+$O$5)^2),0)</f>
        <v>0</v>
      </c>
      <c r="E64" s="55">
        <f>IF($J$5&gt;3,IF($U$2&lt;&gt;0,IF(O64*(1+$O$5)^3&lt;=$U$2,O64*M64*(1+$O$5)^3,$U$2*M64),O64*M64*(1+$O$5)^3),0)</f>
        <v>0</v>
      </c>
      <c r="F64" s="55">
        <f>IF($J$5&gt;4,IF($U$2&lt;&gt;0,IF(O64*(1+$O$5)^4&lt;=$U$2,O64*N64*(1+$O$5)^4,$U$2*N64),O64*N64*(1+$O$5)^4),0)</f>
        <v>0</v>
      </c>
      <c r="G64" s="203">
        <f>SUM(B64:F64)</f>
        <v>0</v>
      </c>
      <c r="H64" s="210"/>
      <c r="I64" s="207" t="s">
        <v>26</v>
      </c>
      <c r="J64" s="17">
        <v>0</v>
      </c>
      <c r="K64" s="17">
        <f>IF($J$5&gt;1,J64,0)</f>
        <v>0</v>
      </c>
      <c r="L64" s="17">
        <f>IF($J$5&gt;2,K64,0)</f>
        <v>0</v>
      </c>
      <c r="M64" s="17">
        <f>IF($J$5&gt;3,L64,0)</f>
        <v>0</v>
      </c>
      <c r="N64" s="17">
        <f>IF($J$5&gt;4,M64,0)</f>
        <v>0</v>
      </c>
      <c r="O64" s="145">
        <f>IF(U63="F",IF($U$2&lt;&gt;0,IF(T63&gt;$U$2,$U$2,T63),T63),0)</f>
        <v>0</v>
      </c>
      <c r="P64" s="157">
        <f>SUM(J63:N63)/(ROUNDUP($J$5,0)*12)</f>
        <v>0</v>
      </c>
      <c r="Q64" s="156">
        <f>(SUM(J63:N63)/(CEILING($J$5*12,12)))*12</f>
        <v>0</v>
      </c>
      <c r="R64" s="12"/>
      <c r="S64" s="12"/>
      <c r="T64" s="208"/>
      <c r="U64" s="94"/>
      <c r="V64" s="94"/>
    </row>
    <row r="65" spans="1:22" outlineLevel="1" x14ac:dyDescent="0.25">
      <c r="A65" s="495" t="str">
        <f>ROUND(P64*100,2)&amp;"% Annualized Effort, "&amp;ROUND(Q65,2)&amp;" Avg. Academic Months
"&amp;IF(SUM(J66:N66)&gt;0," and "&amp;Q66 &amp;" Avg. Summer Months", "")</f>
        <v xml:space="preserve">0% Annualized Effort, 0 Avg. Academic Months
</v>
      </c>
      <c r="B65" s="55">
        <f>J65*O65</f>
        <v>0</v>
      </c>
      <c r="C65" s="55">
        <f>IF($J$5&gt;1,IF($U$2&lt;&gt;0,IF(O65*(1+$O$5)&lt;=$U$2*0.75,O65*K65*(1+$O$5),$U$2*0.75*K65),O65*K65*(1+$O$5)),0)</f>
        <v>0</v>
      </c>
      <c r="D65" s="55">
        <f>IF($J$5&gt;2,IF($U$2&lt;&gt;0,IF(O65*(1+$O$5)^2&lt;=$U$2*0.75,O65*L65*(1+$O$5)^2,$U$2*0.75*L65),O65*L65*(1+$O$5)^2),0)</f>
        <v>0</v>
      </c>
      <c r="E65" s="55">
        <f>IF($J$5&gt;3,IF($U$2&lt;&gt;0,IF(O65*(1+$O$5)^3&lt;=$U$2*0.75,O65*M65*(1+$O$5)^3,$U$2*0.75*M65),O65*M65*(1+$O$5)^3),0)</f>
        <v>0</v>
      </c>
      <c r="F65" s="55">
        <f>IF($J$5&gt;4,IF($U$2&lt;&gt;0,IF(O65*(1+$O$5)^4&lt;=$U$2*0.75,O65*N65*(1+$O$5)^4,$U$2*0.75*N65),O65*N65*(1+$O$5)^4),0)</f>
        <v>0</v>
      </c>
      <c r="G65" s="203">
        <f>SUM(B65:F65)</f>
        <v>0</v>
      </c>
      <c r="H65" s="210"/>
      <c r="I65" s="207" t="s">
        <v>15</v>
      </c>
      <c r="J65" s="17">
        <v>0</v>
      </c>
      <c r="K65" s="17">
        <f>IF($J$5&gt;1,J65,0)</f>
        <v>0</v>
      </c>
      <c r="L65" s="17">
        <f>IF($J$5&gt;2,K65,0)</f>
        <v>0</v>
      </c>
      <c r="M65" s="17">
        <f>IF($J$5&gt;3,L65,0)</f>
        <v>0</v>
      </c>
      <c r="N65" s="17">
        <f>IF($J$5&gt;4,M65,0)</f>
        <v>0</v>
      </c>
      <c r="O65" s="145">
        <f>IF(U63="A",IF($U$2&lt;&gt;0,IF(T63&gt;($U$2/12*9),($U$2/12*9),T63),T63),0)</f>
        <v>0</v>
      </c>
      <c r="P65" s="211"/>
      <c r="Q65" s="156">
        <f>((SUM(J63:N63)-SUM(J66:N66))/(CEILING($J$5*9,9)))*9</f>
        <v>0</v>
      </c>
      <c r="R65" s="12"/>
      <c r="S65" s="12"/>
      <c r="T65" s="208"/>
      <c r="U65" s="94"/>
      <c r="V65" s="94"/>
    </row>
    <row r="66" spans="1:22" outlineLevel="1" x14ac:dyDescent="0.25">
      <c r="A66" s="495"/>
      <c r="B66" s="55">
        <f>J66/3*O66</f>
        <v>0</v>
      </c>
      <c r="C66" s="55">
        <f>IF($J$5&gt;1,IF($U$2&lt;&gt;0,IF(O66*(1+$O$5)&lt;=$U$2*0.25,O66*K66/3*(1+$O$5),$U$2*0.25*K66/3),O66*K66/3*(1+$O$5)),0)</f>
        <v>0</v>
      </c>
      <c r="D66" s="55">
        <f>IF($J$5&gt;2,IF($U$2&lt;&gt;0,IF(O66*(1+$O$5)^2&lt;=$U$2*0.25,O66*L66/3*(1+$O$5)^2,$U$2*0.25*L66/3),O66*L66/3*(1+$O$5)^2),0)</f>
        <v>0</v>
      </c>
      <c r="E66" s="55">
        <f>IF($J$5&gt;3,IF($U$2&lt;&gt;0,IF(O66*(1+$O$5)^3&lt;=$U$2*0.25,O66*M66/3*(1+$O$5)^3,$U$2*0.25*M66/3),O66*M66/3*(1+$O$5)^3),0)</f>
        <v>0</v>
      </c>
      <c r="F66" s="55">
        <f>IF($J$5&gt;4,IF($U$2&lt;&gt;0,IF(O66*(1+$O$5)^4&lt;=$U$2*0.25,O66*N66/3*(1+$O$5)^4,$U$2*0.25*N66/3),O66*N66/3*(1+$O$5)^4),0)</f>
        <v>0</v>
      </c>
      <c r="G66" s="203">
        <f>SUM(B66:F66)</f>
        <v>0</v>
      </c>
      <c r="H66" s="210"/>
      <c r="I66" s="207" t="s">
        <v>17</v>
      </c>
      <c r="J66" s="188">
        <v>0</v>
      </c>
      <c r="K66" s="188">
        <f>IF($J$5&gt;1,J66,0)</f>
        <v>0</v>
      </c>
      <c r="L66" s="188">
        <f>IF($J$5&gt;2,K66,0)</f>
        <v>0</v>
      </c>
      <c r="M66" s="188">
        <f>IF($J$5&gt;3,L66,0)</f>
        <v>0</v>
      </c>
      <c r="N66" s="188">
        <f>IF($J$5&gt;4,M66,0)</f>
        <v>0</v>
      </c>
      <c r="O66" s="167">
        <f>IF(U63="A",IF($U$2&lt;&gt;0,IF(T63/9*3&gt;($U$2/12*3),($U$2/12*3),T63/9*3),T63/9*3),0)</f>
        <v>0</v>
      </c>
      <c r="P66" s="157"/>
      <c r="Q66" s="157">
        <f>((SUM(J63:N63)-SUM(J65:N65)*9)/(CEILING($J$5*3,3)))*3</f>
        <v>0</v>
      </c>
      <c r="R66" s="12"/>
      <c r="S66" s="12"/>
      <c r="T66" s="12"/>
      <c r="U66" s="94"/>
      <c r="V66" s="217"/>
    </row>
    <row r="67" spans="1:22" outlineLevel="1" x14ac:dyDescent="0.25">
      <c r="A67" s="209"/>
      <c r="B67" s="55"/>
      <c r="C67" s="55"/>
      <c r="D67" s="56"/>
      <c r="E67" s="56"/>
      <c r="F67" s="56"/>
      <c r="G67" s="203"/>
      <c r="H67" s="210"/>
      <c r="I67" s="219"/>
      <c r="J67" s="5" t="s">
        <v>6</v>
      </c>
      <c r="K67" s="5" t="s">
        <v>5</v>
      </c>
      <c r="L67" s="5" t="s">
        <v>7</v>
      </c>
      <c r="M67" s="5" t="s">
        <v>8</v>
      </c>
      <c r="N67" s="5" t="s">
        <v>9</v>
      </c>
      <c r="O67" s="187" t="s">
        <v>50</v>
      </c>
      <c r="P67" s="157"/>
      <c r="Q67" s="157"/>
      <c r="R67" s="12"/>
      <c r="S67" s="12"/>
      <c r="T67" s="12"/>
    </row>
    <row r="68" spans="1:22" outlineLevel="1" x14ac:dyDescent="0.25">
      <c r="A68" s="205" t="str">
        <f>"TBN, Student Worker ("&amp;J68&amp;")"</f>
        <v>TBN, Student Worker (0)</v>
      </c>
      <c r="B68" s="55"/>
      <c r="C68" s="55"/>
      <c r="D68" s="56"/>
      <c r="E68" s="56"/>
      <c r="F68" s="56"/>
      <c r="G68" s="203"/>
      <c r="H68" s="210"/>
      <c r="I68" s="221" t="s">
        <v>49</v>
      </c>
      <c r="J68" s="25">
        <v>0</v>
      </c>
      <c r="K68" s="126"/>
      <c r="L68" s="126"/>
      <c r="M68" s="126"/>
      <c r="N68" s="126"/>
      <c r="O68" s="108">
        <v>0</v>
      </c>
      <c r="P68" s="157"/>
      <c r="Q68" s="157"/>
      <c r="R68" s="12"/>
      <c r="S68" s="12"/>
      <c r="T68" s="12"/>
    </row>
    <row r="69" spans="1:22" outlineLevel="1" x14ac:dyDescent="0.25">
      <c r="A69" s="209" t="str">
        <f>J69&amp;" hours per student @ $"&amp;O68&amp;"/hour"</f>
        <v xml:space="preserve"> hours per student @ $0/hour</v>
      </c>
      <c r="B69" s="55">
        <f>J68*J69*O68</f>
        <v>0</v>
      </c>
      <c r="C69" s="55">
        <f>IF($J$5&gt;1,$J$68*K69*$O$68*(1+$O$5),0)</f>
        <v>0</v>
      </c>
      <c r="D69" s="55">
        <f>IF($J$5&gt;2,$J$68*L69*$O$68*(1+$O$5)^2,0)</f>
        <v>0</v>
      </c>
      <c r="E69" s="55">
        <f>IF($J$5&gt;3,$J$68*M69*$O$68*(1+$O$5)^3,0)</f>
        <v>0</v>
      </c>
      <c r="F69" s="55">
        <f>IF($J$5&gt;4,$J$68*N69*$O$68*(1+$O$5)^4,0)</f>
        <v>0</v>
      </c>
      <c r="G69" s="203">
        <f>SUM(B69:F69)</f>
        <v>0</v>
      </c>
      <c r="H69" s="210"/>
      <c r="I69" s="223" t="s">
        <v>56</v>
      </c>
      <c r="J69" s="27"/>
      <c r="K69" s="188">
        <f>IF($J$5&gt;1,J69,0)</f>
        <v>0</v>
      </c>
      <c r="L69" s="27">
        <f>IF($J$5&gt;2,K69,0)</f>
        <v>0</v>
      </c>
      <c r="M69" s="27">
        <f>IF($J$5&gt;3,L69,0)</f>
        <v>0</v>
      </c>
      <c r="N69" s="27">
        <f>IF($J$5&gt;4,M69,0)</f>
        <v>0</v>
      </c>
      <c r="O69" s="22"/>
      <c r="P69" s="157"/>
      <c r="Q69" s="157"/>
      <c r="R69" s="12"/>
      <c r="S69" s="12"/>
      <c r="T69" s="12"/>
    </row>
    <row r="70" spans="1:22" outlineLevel="1" x14ac:dyDescent="0.25">
      <c r="A70" s="209"/>
      <c r="B70" s="55"/>
      <c r="C70" s="55"/>
      <c r="D70" s="55"/>
      <c r="E70" s="55"/>
      <c r="F70" s="55"/>
      <c r="G70" s="203"/>
      <c r="H70" s="210"/>
      <c r="I70" s="221"/>
      <c r="J70" s="126"/>
      <c r="K70" s="126"/>
      <c r="L70" s="126"/>
      <c r="M70" s="126"/>
      <c r="N70" s="126"/>
      <c r="O70" s="51" t="s">
        <v>50</v>
      </c>
      <c r="P70" s="157"/>
      <c r="Q70" s="157"/>
      <c r="R70" s="12"/>
      <c r="S70" s="12"/>
      <c r="T70" s="12"/>
    </row>
    <row r="71" spans="1:22" outlineLevel="1" x14ac:dyDescent="0.25">
      <c r="A71" s="205" t="str">
        <f>"TBN, Student Worker ("&amp;J71&amp;")"</f>
        <v>TBN, Student Worker (0)</v>
      </c>
      <c r="B71" s="55"/>
      <c r="C71" s="55"/>
      <c r="D71" s="56"/>
      <c r="E71" s="56"/>
      <c r="F71" s="56"/>
      <c r="G71" s="203"/>
      <c r="H71" s="210"/>
      <c r="I71" s="221" t="s">
        <v>49</v>
      </c>
      <c r="J71" s="25">
        <v>0</v>
      </c>
      <c r="K71" s="126"/>
      <c r="L71" s="126"/>
      <c r="M71" s="126"/>
      <c r="N71" s="126"/>
      <c r="O71" s="108">
        <v>0</v>
      </c>
      <c r="P71" s="157"/>
      <c r="Q71" s="157"/>
      <c r="R71" s="12"/>
      <c r="S71" s="12"/>
      <c r="T71" s="12"/>
    </row>
    <row r="72" spans="1:22" outlineLevel="1" x14ac:dyDescent="0.25">
      <c r="A72" s="209" t="str">
        <f>J72&amp;" hours per student @ $"&amp;O71&amp;"/hour"</f>
        <v xml:space="preserve"> hours per student @ $0/hour</v>
      </c>
      <c r="B72" s="55">
        <f>J71*J72*O71</f>
        <v>0</v>
      </c>
      <c r="C72" s="55">
        <f>IF($J$5&gt;1,$J$71*K72*$O$71*(1+$O$5),0)</f>
        <v>0</v>
      </c>
      <c r="D72" s="55">
        <f>IF($J$5&gt;2,$J$71*L72*$O$71*(1+$O$5)^2,0)</f>
        <v>0</v>
      </c>
      <c r="E72" s="55">
        <f>IF($J$5&gt;3,$J$71*M72*$O$71*(1+$O$5)^3,0)</f>
        <v>0</v>
      </c>
      <c r="F72" s="55">
        <f>IF($J$5&gt;4,$J$71*N72*$O$71*(1+$O$5)^4,0)</f>
        <v>0</v>
      </c>
      <c r="G72" s="203">
        <f>SUM(B72:F72)</f>
        <v>0</v>
      </c>
      <c r="H72" s="210"/>
      <c r="I72" s="223" t="s">
        <v>56</v>
      </c>
      <c r="J72" s="27"/>
      <c r="K72" s="188">
        <f>IF($J$5&gt;1,J72,0)</f>
        <v>0</v>
      </c>
      <c r="L72" s="27">
        <f>IF($J$5&gt;2,K72,0)</f>
        <v>0</v>
      </c>
      <c r="M72" s="27">
        <f>IF($J$5&gt;3,L72,0)</f>
        <v>0</v>
      </c>
      <c r="N72" s="27">
        <f>IF($J$5&gt;4,M72,0)</f>
        <v>0</v>
      </c>
      <c r="O72" s="22"/>
      <c r="P72" s="157"/>
      <c r="Q72" s="157"/>
      <c r="R72" s="12"/>
      <c r="S72" s="12"/>
      <c r="T72" s="12"/>
    </row>
    <row r="73" spans="1:22" outlineLevel="1" x14ac:dyDescent="0.25">
      <c r="A73" s="209"/>
      <c r="B73" s="55"/>
      <c r="C73" s="55"/>
      <c r="D73" s="55"/>
      <c r="E73" s="55"/>
      <c r="F73" s="55"/>
      <c r="G73" s="203"/>
      <c r="H73" s="210"/>
      <c r="I73" s="221"/>
      <c r="J73" s="126"/>
      <c r="K73" s="126"/>
      <c r="L73" s="126"/>
      <c r="M73" s="126"/>
      <c r="N73" s="126"/>
      <c r="O73" s="51" t="s">
        <v>50</v>
      </c>
      <c r="P73" s="157"/>
      <c r="Q73" s="157"/>
      <c r="R73" s="12"/>
      <c r="S73" s="12"/>
      <c r="T73" s="12"/>
    </row>
    <row r="74" spans="1:22" outlineLevel="1" x14ac:dyDescent="0.25">
      <c r="A74" s="205" t="str">
        <f>"TBN, Student Worker ("&amp;J74&amp;")"</f>
        <v>TBN, Student Worker (0)</v>
      </c>
      <c r="B74" s="55"/>
      <c r="C74" s="55"/>
      <c r="D74" s="56"/>
      <c r="E74" s="56"/>
      <c r="F74" s="56"/>
      <c r="G74" s="203"/>
      <c r="H74" s="210"/>
      <c r="I74" s="221" t="s">
        <v>49</v>
      </c>
      <c r="J74" s="25">
        <v>0</v>
      </c>
      <c r="K74" s="126"/>
      <c r="L74" s="126"/>
      <c r="M74" s="126"/>
      <c r="N74" s="126"/>
      <c r="O74" s="108">
        <v>0</v>
      </c>
      <c r="P74" s="157"/>
      <c r="Q74" s="157"/>
      <c r="R74" s="12"/>
      <c r="S74" s="12"/>
      <c r="T74" s="12"/>
    </row>
    <row r="75" spans="1:22" outlineLevel="1" x14ac:dyDescent="0.25">
      <c r="A75" s="209" t="str">
        <f>J75&amp;" hours per student @ $"&amp;O74&amp;"/hour"</f>
        <v xml:space="preserve"> hours per student @ $0/hour</v>
      </c>
      <c r="B75" s="55">
        <f>J74*J75*O74</f>
        <v>0</v>
      </c>
      <c r="C75" s="55">
        <f>IF($J$5&gt;1,$J$74*K75*$O$74*(1+$O$5),0)</f>
        <v>0</v>
      </c>
      <c r="D75" s="55">
        <f>IF($J$5&gt;2,$J$74*L75*$O$74*(1+$O$5)^2,0)</f>
        <v>0</v>
      </c>
      <c r="E75" s="55">
        <f>IF($J$5&gt;3,$J$74*M75*$O$74*(1+$O$5)^3,0)</f>
        <v>0</v>
      </c>
      <c r="F75" s="55">
        <f>IF($J$5&gt;4,$J$74*N75*$O$74*(1+$O$5)^4,0)</f>
        <v>0</v>
      </c>
      <c r="G75" s="203">
        <f>SUM(B75:F75)</f>
        <v>0</v>
      </c>
      <c r="H75" s="210"/>
      <c r="I75" s="223" t="s">
        <v>56</v>
      </c>
      <c r="J75" s="27"/>
      <c r="K75" s="188">
        <f>IF($J$5&gt;1,J75,0)</f>
        <v>0</v>
      </c>
      <c r="L75" s="27">
        <f>IF($J$5&gt;2,K75,0)</f>
        <v>0</v>
      </c>
      <c r="M75" s="27">
        <f>IF($J$5&gt;3,L75,0)</f>
        <v>0</v>
      </c>
      <c r="N75" s="27">
        <f>IF($J$5&gt;4,M75,0)</f>
        <v>0</v>
      </c>
      <c r="O75" s="22"/>
      <c r="P75" s="157"/>
      <c r="Q75" s="157"/>
      <c r="R75" s="12"/>
      <c r="S75" s="12"/>
      <c r="T75" s="12"/>
    </row>
    <row r="76" spans="1:22" outlineLevel="1" x14ac:dyDescent="0.25">
      <c r="A76" s="224" t="s">
        <v>0</v>
      </c>
      <c r="B76" s="61">
        <f>ROUND(SUM(B8:B75),0)</f>
        <v>0</v>
      </c>
      <c r="C76" s="61">
        <f>ROUND(SUM(C8:C75),0)</f>
        <v>0</v>
      </c>
      <c r="D76" s="61">
        <f>ROUND(SUM(D8:D75),0)</f>
        <v>0</v>
      </c>
      <c r="E76" s="61">
        <f>ROUND(SUM(E8:E75),0)</f>
        <v>0</v>
      </c>
      <c r="F76" s="61">
        <f>ROUND(SUM(F8:F75),0)</f>
        <v>0</v>
      </c>
      <c r="G76" s="61">
        <f>SUM(B76:F76)</f>
        <v>0</v>
      </c>
      <c r="H76" s="28"/>
      <c r="R76" s="12"/>
      <c r="S76" s="12"/>
      <c r="T76" s="12"/>
      <c r="V76" s="94"/>
    </row>
    <row r="77" spans="1:22" outlineLevel="1" x14ac:dyDescent="0.25">
      <c r="B77" s="60"/>
      <c r="C77" s="60"/>
      <c r="D77" s="56"/>
      <c r="E77" s="56"/>
      <c r="F77" s="56"/>
      <c r="G77" s="203"/>
      <c r="R77" s="12"/>
      <c r="S77" s="12"/>
      <c r="T77" s="12"/>
      <c r="V77" s="94"/>
    </row>
    <row r="78" spans="1:22" outlineLevel="1" x14ac:dyDescent="0.25">
      <c r="A78" s="195" t="s">
        <v>4</v>
      </c>
      <c r="B78" s="60"/>
      <c r="C78" s="60"/>
      <c r="D78" s="56"/>
      <c r="E78" s="56"/>
      <c r="F78" s="56"/>
      <c r="G78" s="203"/>
      <c r="R78" s="12"/>
      <c r="S78" s="12"/>
      <c r="T78" s="12"/>
      <c r="V78" s="94"/>
    </row>
    <row r="79" spans="1:22" outlineLevel="1" x14ac:dyDescent="0.25">
      <c r="A79" s="104" t="str">
        <f>I79&amp;ROUND(J79*100,2)&amp;"%"</f>
        <v>Employees @ 0%</v>
      </c>
      <c r="B79" s="121">
        <f>SUM(B8:B40)*$J$79</f>
        <v>0</v>
      </c>
      <c r="C79" s="121">
        <f>SUM(C8:C40)*$J$79</f>
        <v>0</v>
      </c>
      <c r="D79" s="121">
        <f>SUM(D8:D40)*$J$79</f>
        <v>0</v>
      </c>
      <c r="E79" s="121">
        <f>SUM(E8:E40)*$J$79</f>
        <v>0</v>
      </c>
      <c r="F79" s="121">
        <f>SUM(F8:F40)*$J$79</f>
        <v>0</v>
      </c>
      <c r="G79" s="62">
        <f>SUM(B79:F79)</f>
        <v>0</v>
      </c>
      <c r="H79" s="190"/>
      <c r="I79" s="226" t="s">
        <v>146</v>
      </c>
      <c r="J79" s="227">
        <v>0</v>
      </c>
      <c r="K79" s="228"/>
      <c r="L79" s="228"/>
      <c r="M79" s="228"/>
      <c r="N79" s="228"/>
      <c r="R79" s="12"/>
      <c r="S79" s="12"/>
      <c r="T79" s="12"/>
      <c r="V79" s="94"/>
    </row>
    <row r="80" spans="1:22" outlineLevel="1" x14ac:dyDescent="0.25">
      <c r="A80" s="104" t="str">
        <f>I80&amp;ROUND(J80*100,2)&amp;"%"</f>
        <v>Post-docs @ 0%</v>
      </c>
      <c r="B80" s="121">
        <f>SUM(B45:B51)*$J$80</f>
        <v>0</v>
      </c>
      <c r="C80" s="121">
        <f>SUM(C45:C51)*$J$80</f>
        <v>0</v>
      </c>
      <c r="D80" s="121">
        <f>SUM(D45:D51)*$J$80</f>
        <v>0</v>
      </c>
      <c r="E80" s="121">
        <f>SUM(E45:E51)*$J$80</f>
        <v>0</v>
      </c>
      <c r="F80" s="121">
        <f>SUM(F45:F51)*$J$80</f>
        <v>0</v>
      </c>
      <c r="G80" s="62">
        <f>SUM(B80:F80)</f>
        <v>0</v>
      </c>
      <c r="H80" s="190"/>
      <c r="I80" s="226" t="s">
        <v>147</v>
      </c>
      <c r="J80" s="227">
        <v>0</v>
      </c>
      <c r="K80" s="228"/>
      <c r="L80" s="228"/>
      <c r="M80" s="228"/>
      <c r="N80" s="228"/>
      <c r="R80" s="12"/>
      <c r="S80" s="12"/>
      <c r="T80" s="12"/>
      <c r="V80" s="94"/>
    </row>
    <row r="81" spans="1:22" outlineLevel="1" x14ac:dyDescent="0.25">
      <c r="A81" s="104" t="str">
        <f>I81&amp;ROUND(J81*100,2)&amp;"%"</f>
        <v>Graduate Assistants @ 0%</v>
      </c>
      <c r="B81" s="121">
        <f>SUM(B54:B66)*$J$81</f>
        <v>0</v>
      </c>
      <c r="C81" s="121">
        <f>SUM(C54:C66)*$J$81</f>
        <v>0</v>
      </c>
      <c r="D81" s="121">
        <f>SUM(D54:D66)*$J$81</f>
        <v>0</v>
      </c>
      <c r="E81" s="121">
        <f>SUM(E54:E66)*$J$81</f>
        <v>0</v>
      </c>
      <c r="F81" s="121">
        <f>SUM(F54:F66)*$J$81</f>
        <v>0</v>
      </c>
      <c r="G81" s="62">
        <f>SUM(B81:F81)</f>
        <v>0</v>
      </c>
      <c r="H81" s="190"/>
      <c r="I81" s="226" t="s">
        <v>144</v>
      </c>
      <c r="J81" s="227">
        <v>0</v>
      </c>
      <c r="K81" s="228"/>
      <c r="L81" s="228"/>
      <c r="M81" s="228"/>
      <c r="N81" s="228"/>
      <c r="R81" s="12"/>
      <c r="S81" s="12"/>
      <c r="T81" s="12"/>
      <c r="V81" s="94"/>
    </row>
    <row r="82" spans="1:22" outlineLevel="1" x14ac:dyDescent="0.25">
      <c r="A82" s="104" t="str">
        <f>I82&amp;ROUND(J82*100,2)&amp;"%"</f>
        <v>Student Workers @0%</v>
      </c>
      <c r="B82" s="121">
        <f>SUM(B69:B75)*$J$82</f>
        <v>0</v>
      </c>
      <c r="C82" s="121">
        <f>SUM(C69:C75)*$J$82</f>
        <v>0</v>
      </c>
      <c r="D82" s="121">
        <f>SUM(D69:D75)*$J$82</f>
        <v>0</v>
      </c>
      <c r="E82" s="121">
        <f>SUM(E69:E75)*$J$82</f>
        <v>0</v>
      </c>
      <c r="F82" s="121">
        <f>SUM(F69:F75)*$J$82</f>
        <v>0</v>
      </c>
      <c r="G82" s="62">
        <f>SUM(B82:F82)</f>
        <v>0</v>
      </c>
      <c r="H82" s="190"/>
      <c r="I82" s="226" t="s">
        <v>140</v>
      </c>
      <c r="J82" s="227">
        <v>0</v>
      </c>
      <c r="K82" s="228"/>
      <c r="L82" s="228"/>
      <c r="M82" s="228"/>
      <c r="N82" s="228"/>
      <c r="R82" s="12"/>
      <c r="S82" s="12"/>
      <c r="T82" s="12"/>
      <c r="V82" s="94"/>
    </row>
    <row r="83" spans="1:22" outlineLevel="1" x14ac:dyDescent="0.25">
      <c r="A83" s="224" t="s">
        <v>1</v>
      </c>
      <c r="B83" s="63">
        <f>ROUND(SUM(B79:B82),0)</f>
        <v>0</v>
      </c>
      <c r="C83" s="63">
        <f>ROUND(SUM(C79:C82),0)</f>
        <v>0</v>
      </c>
      <c r="D83" s="63">
        <f>ROUND(SUM(D79:D82),0)</f>
        <v>0</v>
      </c>
      <c r="E83" s="63">
        <f>ROUND(SUM(E79:E82),0)</f>
        <v>0</v>
      </c>
      <c r="F83" s="63">
        <f>ROUND(SUM(F79:F82),0)</f>
        <v>0</v>
      </c>
      <c r="G83" s="229">
        <f>SUM(B83:F83)</f>
        <v>0</v>
      </c>
      <c r="H83" s="190"/>
      <c r="R83" s="12"/>
      <c r="S83" s="12"/>
      <c r="T83" s="12"/>
      <c r="V83" s="94"/>
    </row>
    <row r="84" spans="1:22" outlineLevel="1" x14ac:dyDescent="0.25">
      <c r="B84" s="56"/>
      <c r="C84" s="56"/>
      <c r="D84" s="56"/>
      <c r="E84" s="56"/>
      <c r="F84" s="56"/>
      <c r="G84" s="203"/>
      <c r="R84" s="12"/>
      <c r="S84" s="12"/>
      <c r="T84" s="12"/>
      <c r="V84" s="94"/>
    </row>
    <row r="85" spans="1:22" outlineLevel="1" x14ac:dyDescent="0.25">
      <c r="A85" s="230" t="s">
        <v>95</v>
      </c>
      <c r="B85" s="65">
        <f>B76+B83</f>
        <v>0</v>
      </c>
      <c r="C85" s="65">
        <f>C76+C83</f>
        <v>0</v>
      </c>
      <c r="D85" s="65">
        <f>D76+D83</f>
        <v>0</v>
      </c>
      <c r="E85" s="65">
        <f>E76+E83</f>
        <v>0</v>
      </c>
      <c r="F85" s="65">
        <f>F76+F83</f>
        <v>0</v>
      </c>
      <c r="G85" s="231">
        <f>SUM(B85:F85)</f>
        <v>0</v>
      </c>
      <c r="H85" s="190"/>
      <c r="R85" s="12"/>
      <c r="S85" s="12"/>
      <c r="T85" s="12"/>
      <c r="V85" s="94"/>
    </row>
    <row r="86" spans="1:22" outlineLevel="1" x14ac:dyDescent="0.25">
      <c r="A86" s="189"/>
      <c r="B86" s="67"/>
      <c r="C86" s="67"/>
      <c r="D86" s="67"/>
      <c r="E86" s="67"/>
      <c r="F86" s="67"/>
      <c r="G86" s="68"/>
      <c r="H86" s="29"/>
      <c r="R86" s="12"/>
      <c r="S86" s="12"/>
      <c r="T86" s="12"/>
      <c r="V86" s="94"/>
    </row>
    <row r="87" spans="1:22" outlineLevel="1" x14ac:dyDescent="0.25">
      <c r="A87" s="232" t="s">
        <v>39</v>
      </c>
      <c r="B87" s="56"/>
      <c r="C87" s="56"/>
      <c r="D87" s="56"/>
      <c r="E87" s="56"/>
      <c r="F87" s="56"/>
      <c r="G87" s="203"/>
      <c r="R87" s="12"/>
      <c r="S87" s="12"/>
      <c r="T87" s="12"/>
      <c r="V87" s="94"/>
    </row>
    <row r="88" spans="1:22" outlineLevel="1" x14ac:dyDescent="0.25">
      <c r="A88" s="233" t="s">
        <v>41</v>
      </c>
      <c r="B88" s="69">
        <v>0</v>
      </c>
      <c r="C88" s="69">
        <v>0</v>
      </c>
      <c r="D88" s="69">
        <v>0</v>
      </c>
      <c r="E88" s="69">
        <v>0</v>
      </c>
      <c r="F88" s="69">
        <v>0</v>
      </c>
      <c r="G88" s="203">
        <f>SUM(B88:F88)</f>
        <v>0</v>
      </c>
      <c r="H88" s="210"/>
      <c r="R88" s="12"/>
      <c r="S88" s="12"/>
      <c r="T88" s="12"/>
      <c r="V88" s="94"/>
    </row>
    <row r="89" spans="1:22" outlineLevel="1" x14ac:dyDescent="0.25">
      <c r="A89" s="233" t="s">
        <v>42</v>
      </c>
      <c r="B89" s="69">
        <v>0</v>
      </c>
      <c r="C89" s="69">
        <v>0</v>
      </c>
      <c r="D89" s="69">
        <v>0</v>
      </c>
      <c r="E89" s="69">
        <v>0</v>
      </c>
      <c r="F89" s="69">
        <v>0</v>
      </c>
      <c r="G89" s="203">
        <f>SUM(B89:F89)</f>
        <v>0</v>
      </c>
      <c r="H89" s="210"/>
      <c r="R89" s="12"/>
      <c r="S89" s="12"/>
      <c r="T89" s="12"/>
      <c r="V89" s="94"/>
    </row>
    <row r="90" spans="1:22" outlineLevel="1" x14ac:dyDescent="0.25">
      <c r="A90" s="233" t="s">
        <v>43</v>
      </c>
      <c r="B90" s="69">
        <v>0</v>
      </c>
      <c r="C90" s="69">
        <v>0</v>
      </c>
      <c r="D90" s="69">
        <v>0</v>
      </c>
      <c r="E90" s="69">
        <v>0</v>
      </c>
      <c r="F90" s="69">
        <v>0</v>
      </c>
      <c r="G90" s="203">
        <f>SUM(B90:F90)</f>
        <v>0</v>
      </c>
      <c r="H90" s="210"/>
      <c r="R90" s="12"/>
      <c r="S90" s="12"/>
      <c r="T90" s="12"/>
      <c r="V90" s="94"/>
    </row>
    <row r="91" spans="1:22" outlineLevel="1" x14ac:dyDescent="0.25">
      <c r="A91" s="224" t="s">
        <v>40</v>
      </c>
      <c r="B91" s="61">
        <f>ROUND(SUM(B88:B90),0)</f>
        <v>0</v>
      </c>
      <c r="C91" s="61">
        <f>ROUND(SUM(C88:C90),0)</f>
        <v>0</v>
      </c>
      <c r="D91" s="61">
        <f>ROUND(SUM(D88:D90),0)</f>
        <v>0</v>
      </c>
      <c r="E91" s="61">
        <f>ROUND(SUM(E88:E90),0)</f>
        <v>0</v>
      </c>
      <c r="F91" s="61">
        <f>ROUND(SUM(F88:F90),0)</f>
        <v>0</v>
      </c>
      <c r="G91" s="61">
        <f>SUM(B91:F91)</f>
        <v>0</v>
      </c>
      <c r="H91" s="28"/>
      <c r="R91" s="12"/>
      <c r="S91" s="12"/>
      <c r="T91" s="12"/>
      <c r="V91" s="94"/>
    </row>
    <row r="92" spans="1:22" outlineLevel="1" x14ac:dyDescent="0.25">
      <c r="B92" s="60"/>
      <c r="C92" s="60"/>
      <c r="D92" s="56"/>
      <c r="E92" s="56"/>
      <c r="F92" s="56"/>
      <c r="G92" s="203"/>
      <c r="R92" s="12"/>
      <c r="S92" s="12"/>
      <c r="T92" s="12"/>
      <c r="V92" s="94"/>
    </row>
    <row r="93" spans="1:22" outlineLevel="1" x14ac:dyDescent="0.25">
      <c r="A93" s="195" t="s">
        <v>11</v>
      </c>
      <c r="B93" s="68"/>
      <c r="C93" s="68"/>
      <c r="D93" s="68"/>
      <c r="E93" s="68"/>
      <c r="F93" s="68"/>
      <c r="G93" s="68"/>
      <c r="H93" s="29"/>
      <c r="R93" s="12"/>
      <c r="S93" s="12"/>
      <c r="T93" s="12"/>
      <c r="V93" s="94"/>
    </row>
    <row r="94" spans="1:22" outlineLevel="1" x14ac:dyDescent="0.25">
      <c r="A94" s="209" t="s">
        <v>98</v>
      </c>
      <c r="B94" s="165">
        <v>0</v>
      </c>
      <c r="C94" s="165">
        <v>0</v>
      </c>
      <c r="D94" s="165">
        <v>0</v>
      </c>
      <c r="E94" s="165">
        <v>0</v>
      </c>
      <c r="F94" s="165">
        <v>0</v>
      </c>
      <c r="G94" s="68">
        <f>SUM(B94:F94)</f>
        <v>0</v>
      </c>
      <c r="H94" s="29"/>
      <c r="R94" s="12"/>
      <c r="S94" s="12"/>
      <c r="T94" s="12"/>
      <c r="V94" s="94"/>
    </row>
    <row r="95" spans="1:22" outlineLevel="1" x14ac:dyDescent="0.25">
      <c r="A95" s="209" t="s">
        <v>99</v>
      </c>
      <c r="B95" s="165">
        <v>0</v>
      </c>
      <c r="C95" s="165">
        <v>0</v>
      </c>
      <c r="D95" s="165">
        <v>0</v>
      </c>
      <c r="E95" s="165">
        <v>0</v>
      </c>
      <c r="F95" s="165">
        <v>0</v>
      </c>
      <c r="G95" s="68">
        <f>SUM(B95:F95)</f>
        <v>0</v>
      </c>
      <c r="H95" s="29"/>
      <c r="R95" s="12"/>
      <c r="S95" s="12"/>
      <c r="T95" s="12"/>
      <c r="V95" s="94"/>
    </row>
    <row r="96" spans="1:22" outlineLevel="1" x14ac:dyDescent="0.25">
      <c r="A96" s="224" t="s">
        <v>12</v>
      </c>
      <c r="B96" s="71">
        <f>ROUND(SUM(B94:B95),0)</f>
        <v>0</v>
      </c>
      <c r="C96" s="71">
        <f>ROUND(SUM(C94:C95),0)</f>
        <v>0</v>
      </c>
      <c r="D96" s="71">
        <f>ROUND(SUM(D94:D95),0)</f>
        <v>0</v>
      </c>
      <c r="E96" s="71">
        <f>ROUND(SUM(E94:E95),0)</f>
        <v>0</v>
      </c>
      <c r="F96" s="71">
        <f>ROUND(SUM(F94:F95),0)</f>
        <v>0</v>
      </c>
      <c r="G96" s="61">
        <f>SUM(B96:F96)</f>
        <v>0</v>
      </c>
      <c r="H96" s="28"/>
      <c r="R96" s="12"/>
      <c r="S96" s="12"/>
      <c r="T96" s="12"/>
      <c r="V96" s="94"/>
    </row>
    <row r="97" spans="1:22" outlineLevel="1" x14ac:dyDescent="0.25">
      <c r="B97" s="56"/>
      <c r="C97" s="56"/>
      <c r="D97" s="56"/>
      <c r="E97" s="56"/>
      <c r="F97" s="56"/>
      <c r="G97" s="203"/>
      <c r="R97" s="12"/>
      <c r="S97" s="12"/>
      <c r="T97" s="12"/>
      <c r="V97" s="94"/>
    </row>
    <row r="98" spans="1:22" outlineLevel="1" x14ac:dyDescent="0.25">
      <c r="A98" s="189" t="s">
        <v>44</v>
      </c>
      <c r="B98" s="56"/>
      <c r="C98" s="56"/>
      <c r="D98" s="56"/>
      <c r="E98" s="56"/>
      <c r="F98" s="56"/>
      <c r="G98" s="203"/>
      <c r="R98" s="12"/>
      <c r="S98" s="12"/>
      <c r="T98" s="12"/>
      <c r="V98" s="94"/>
    </row>
    <row r="99" spans="1:22" outlineLevel="1" x14ac:dyDescent="0.25">
      <c r="A99" s="234" t="s">
        <v>44</v>
      </c>
      <c r="B99" s="74">
        <v>0</v>
      </c>
      <c r="C99" s="74">
        <v>0</v>
      </c>
      <c r="D99" s="74">
        <v>0</v>
      </c>
      <c r="E99" s="74">
        <v>0</v>
      </c>
      <c r="F99" s="74">
        <v>0</v>
      </c>
      <c r="G99" s="225">
        <f>SUM(B99:F99)</f>
        <v>0</v>
      </c>
      <c r="R99" s="12"/>
      <c r="S99" s="12"/>
      <c r="T99" s="12"/>
      <c r="V99" s="94"/>
    </row>
    <row r="100" spans="1:22" x14ac:dyDescent="0.25">
      <c r="A100" s="224" t="s">
        <v>155</v>
      </c>
      <c r="B100" s="71">
        <f>ROUND(SUM(B99),0)</f>
        <v>0</v>
      </c>
      <c r="C100" s="71">
        <f>ROUND(SUM(C99),0)</f>
        <v>0</v>
      </c>
      <c r="D100" s="71">
        <f>ROUND(SUM(D99),0)</f>
        <v>0</v>
      </c>
      <c r="E100" s="71">
        <f>ROUND(SUM(E99),0)</f>
        <v>0</v>
      </c>
      <c r="F100" s="71">
        <f>ROUND(SUM(F99),0)</f>
        <v>0</v>
      </c>
      <c r="G100" s="61">
        <f>SUM(B100:F100)</f>
        <v>0</v>
      </c>
      <c r="H100" s="28"/>
      <c r="P100" s="157"/>
      <c r="Q100" s="157"/>
      <c r="R100" s="12"/>
      <c r="S100" s="12"/>
      <c r="T100" s="12"/>
    </row>
    <row r="101" spans="1:22" outlineLevel="1" x14ac:dyDescent="0.25">
      <c r="B101" s="56"/>
      <c r="C101" s="56"/>
      <c r="D101" s="56"/>
      <c r="E101" s="56"/>
      <c r="F101" s="56"/>
      <c r="G101" s="203"/>
      <c r="R101" s="12"/>
      <c r="S101" s="12"/>
      <c r="T101" s="12"/>
      <c r="V101" s="94"/>
    </row>
    <row r="102" spans="1:22" x14ac:dyDescent="0.25">
      <c r="A102" s="235" t="s">
        <v>33</v>
      </c>
      <c r="B102" s="67"/>
      <c r="C102" s="67"/>
      <c r="D102" s="56"/>
      <c r="E102" s="56"/>
      <c r="F102" s="56"/>
      <c r="G102" s="203"/>
      <c r="R102" s="12"/>
      <c r="S102" s="12"/>
      <c r="T102" s="12"/>
      <c r="V102" s="94"/>
    </row>
    <row r="103" spans="1:22" x14ac:dyDescent="0.25">
      <c r="A103" s="234" t="s">
        <v>31</v>
      </c>
      <c r="B103" s="74">
        <f>SUM(J52,J57,J62)</f>
        <v>0</v>
      </c>
      <c r="C103" s="74">
        <f>SUM(K52,K57,K62)</f>
        <v>0</v>
      </c>
      <c r="D103" s="74">
        <f>SUM(L52,L57,L62)</f>
        <v>0</v>
      </c>
      <c r="E103" s="74">
        <f>SUM(M52,M57,M62)</f>
        <v>0</v>
      </c>
      <c r="F103" s="74">
        <f>SUM(N52,N57,N62)</f>
        <v>0</v>
      </c>
      <c r="G103" s="225">
        <f>SUM(B103:F103)</f>
        <v>0</v>
      </c>
      <c r="R103" s="12"/>
      <c r="S103" s="12"/>
      <c r="T103" s="12"/>
      <c r="V103" s="94"/>
    </row>
    <row r="104" spans="1:22" x14ac:dyDescent="0.25">
      <c r="A104" s="234" t="s">
        <v>97</v>
      </c>
      <c r="B104" s="164">
        <v>0</v>
      </c>
      <c r="C104" s="164">
        <v>0</v>
      </c>
      <c r="D104" s="164">
        <v>0</v>
      </c>
      <c r="E104" s="164">
        <v>0</v>
      </c>
      <c r="F104" s="164">
        <v>0</v>
      </c>
      <c r="G104" s="225">
        <f>SUM(B104:F104)</f>
        <v>0</v>
      </c>
      <c r="H104" s="190"/>
      <c r="R104" s="12"/>
      <c r="S104" s="12"/>
      <c r="T104" s="12"/>
      <c r="V104" s="94"/>
    </row>
    <row r="105" spans="1:22" outlineLevel="1" x14ac:dyDescent="0.25">
      <c r="A105" s="234"/>
      <c r="B105" s="73"/>
      <c r="C105" s="73"/>
      <c r="D105" s="73"/>
      <c r="E105" s="73"/>
      <c r="F105" s="73"/>
      <c r="G105" s="225"/>
      <c r="R105" s="12"/>
      <c r="S105" s="12"/>
      <c r="T105" s="12"/>
      <c r="V105" s="94"/>
    </row>
    <row r="106" spans="1:22" outlineLevel="1" x14ac:dyDescent="0.25">
      <c r="A106" s="236" t="s">
        <v>88</v>
      </c>
      <c r="B106" s="69">
        <v>0</v>
      </c>
      <c r="C106" s="69">
        <v>0</v>
      </c>
      <c r="D106" s="69">
        <v>0</v>
      </c>
      <c r="E106" s="69">
        <v>0</v>
      </c>
      <c r="F106" s="69">
        <v>0</v>
      </c>
      <c r="G106" s="203">
        <f t="shared" ref="G106:G112" si="0">SUM(B106:F106)</f>
        <v>0</v>
      </c>
      <c r="H106" s="210"/>
      <c r="R106" s="12"/>
      <c r="S106" s="12"/>
      <c r="T106" s="12"/>
      <c r="V106" s="94"/>
    </row>
    <row r="107" spans="1:22" outlineLevel="1" x14ac:dyDescent="0.25">
      <c r="A107" s="236" t="s">
        <v>89</v>
      </c>
      <c r="B107" s="69">
        <v>0</v>
      </c>
      <c r="C107" s="69">
        <v>0</v>
      </c>
      <c r="D107" s="69">
        <v>0</v>
      </c>
      <c r="E107" s="69">
        <v>0</v>
      </c>
      <c r="F107" s="69">
        <v>0</v>
      </c>
      <c r="G107" s="203">
        <f t="shared" si="0"/>
        <v>0</v>
      </c>
      <c r="H107" s="210"/>
      <c r="R107" s="12"/>
      <c r="S107" s="12"/>
      <c r="T107" s="12"/>
      <c r="V107" s="94"/>
    </row>
    <row r="108" spans="1:22" x14ac:dyDescent="0.25">
      <c r="A108" s="236" t="s">
        <v>90</v>
      </c>
      <c r="B108" s="69">
        <v>0</v>
      </c>
      <c r="C108" s="69">
        <v>0</v>
      </c>
      <c r="D108" s="69">
        <v>0</v>
      </c>
      <c r="E108" s="69">
        <v>0</v>
      </c>
      <c r="F108" s="69">
        <v>0</v>
      </c>
      <c r="G108" s="203">
        <f t="shared" si="0"/>
        <v>0</v>
      </c>
      <c r="H108" s="210"/>
      <c r="R108" s="12"/>
      <c r="S108" s="12"/>
      <c r="T108" s="12"/>
      <c r="V108" s="94"/>
    </row>
    <row r="109" spans="1:22" x14ac:dyDescent="0.25">
      <c r="A109" s="236" t="s">
        <v>91</v>
      </c>
      <c r="B109" s="69">
        <v>0</v>
      </c>
      <c r="C109" s="69">
        <v>0</v>
      </c>
      <c r="D109" s="69">
        <v>0</v>
      </c>
      <c r="E109" s="69">
        <v>0</v>
      </c>
      <c r="F109" s="69">
        <v>0</v>
      </c>
      <c r="G109" s="203">
        <f t="shared" si="0"/>
        <v>0</v>
      </c>
      <c r="H109" s="210"/>
      <c r="R109" s="12"/>
      <c r="S109" s="12"/>
      <c r="T109" s="12"/>
      <c r="V109" s="94"/>
    </row>
    <row r="110" spans="1:22" x14ac:dyDescent="0.25">
      <c r="A110" s="236" t="s">
        <v>102</v>
      </c>
      <c r="B110" s="69">
        <v>0</v>
      </c>
      <c r="C110" s="69">
        <v>0</v>
      </c>
      <c r="D110" s="69">
        <v>0</v>
      </c>
      <c r="E110" s="69">
        <v>0</v>
      </c>
      <c r="F110" s="69">
        <v>0</v>
      </c>
      <c r="G110" s="203">
        <f t="shared" si="0"/>
        <v>0</v>
      </c>
      <c r="H110" s="210"/>
      <c r="R110" s="12"/>
      <c r="S110" s="12"/>
      <c r="T110" s="12"/>
      <c r="V110" s="94"/>
    </row>
    <row r="111" spans="1:22" outlineLevel="1" x14ac:dyDescent="0.25">
      <c r="A111" s="237" t="s">
        <v>103</v>
      </c>
      <c r="B111" s="69">
        <v>0</v>
      </c>
      <c r="C111" s="69">
        <v>0</v>
      </c>
      <c r="D111" s="69">
        <v>0</v>
      </c>
      <c r="E111" s="69">
        <v>0</v>
      </c>
      <c r="F111" s="69">
        <v>0</v>
      </c>
      <c r="G111" s="203">
        <f t="shared" si="0"/>
        <v>0</v>
      </c>
      <c r="H111" s="210"/>
      <c r="R111" s="12"/>
      <c r="S111" s="12"/>
      <c r="T111" s="12"/>
      <c r="V111" s="94"/>
    </row>
    <row r="112" spans="1:22" outlineLevel="1" x14ac:dyDescent="0.25">
      <c r="A112" s="238" t="s">
        <v>87</v>
      </c>
      <c r="B112" s="58">
        <f>SUM(B106:B111)</f>
        <v>0</v>
      </c>
      <c r="C112" s="58">
        <f>SUM(C106:C111)</f>
        <v>0</v>
      </c>
      <c r="D112" s="58">
        <f>SUM(D106:D111)</f>
        <v>0</v>
      </c>
      <c r="E112" s="58">
        <f>SUM(E106:E111)</f>
        <v>0</v>
      </c>
      <c r="F112" s="58">
        <f>SUM(F106:F111)</f>
        <v>0</v>
      </c>
      <c r="G112" s="239">
        <f t="shared" si="0"/>
        <v>0</v>
      </c>
      <c r="H112" s="28"/>
      <c r="R112" s="12"/>
      <c r="S112" s="12"/>
      <c r="T112" s="12"/>
      <c r="V112" s="94"/>
    </row>
    <row r="113" spans="1:22" x14ac:dyDescent="0.25">
      <c r="A113" s="240"/>
      <c r="B113" s="75"/>
      <c r="C113" s="75"/>
      <c r="D113" s="75"/>
      <c r="E113" s="75"/>
      <c r="F113" s="75"/>
      <c r="G113" s="75"/>
      <c r="H113" s="28"/>
      <c r="R113" s="12"/>
      <c r="S113" s="12"/>
      <c r="T113" s="12"/>
      <c r="V113" s="94"/>
    </row>
    <row r="114" spans="1:22" x14ac:dyDescent="0.25">
      <c r="A114" s="241" t="s">
        <v>38</v>
      </c>
      <c r="B114" s="71">
        <f>ROUND(SUM(B103:B104,B112),0)</f>
        <v>0</v>
      </c>
      <c r="C114" s="71">
        <f>ROUND(SUM(C103:C104,C112),0)</f>
        <v>0</v>
      </c>
      <c r="D114" s="71">
        <f>ROUND(SUM(D103:D104,D112),0)</f>
        <v>0</v>
      </c>
      <c r="E114" s="71">
        <f>ROUND(SUM(E103:E104,E112),0)</f>
        <v>0</v>
      </c>
      <c r="F114" s="71">
        <f>ROUND(SUM(F103:F104,F112),0)</f>
        <v>0</v>
      </c>
      <c r="G114" s="61">
        <f>SUM(B114:F114)</f>
        <v>0</v>
      </c>
      <c r="H114" s="28"/>
      <c r="R114" s="12"/>
      <c r="S114" s="12"/>
      <c r="T114" s="12"/>
      <c r="V114" s="94"/>
    </row>
    <row r="115" spans="1:22" x14ac:dyDescent="0.25">
      <c r="A115" s="242"/>
      <c r="B115" s="76"/>
      <c r="C115" s="76"/>
      <c r="D115" s="77"/>
      <c r="E115" s="77"/>
      <c r="F115" s="77"/>
      <c r="G115" s="225"/>
      <c r="R115" s="12"/>
      <c r="S115" s="12"/>
      <c r="T115" s="12"/>
      <c r="V115" s="94"/>
    </row>
    <row r="116" spans="1:22" outlineLevel="1" x14ac:dyDescent="0.25">
      <c r="A116" s="243" t="s">
        <v>92</v>
      </c>
      <c r="B116" s="110">
        <f>B118-B107-B109-B111</f>
        <v>0</v>
      </c>
      <c r="C116" s="110">
        <f>C118-C107-C109-C111</f>
        <v>0</v>
      </c>
      <c r="D116" s="110">
        <f>D118-D107-D109-D111</f>
        <v>0</v>
      </c>
      <c r="E116" s="110">
        <f>E118-E107-E109-E111</f>
        <v>0</v>
      </c>
      <c r="F116" s="110">
        <f>F118-F107-F109-F111</f>
        <v>0</v>
      </c>
      <c r="G116" s="111">
        <f>SUM(B116:F116)</f>
        <v>0</v>
      </c>
      <c r="R116" s="12"/>
      <c r="S116" s="12"/>
      <c r="T116" s="12"/>
      <c r="V116" s="94"/>
    </row>
    <row r="117" spans="1:22" outlineLevel="1" x14ac:dyDescent="0.25">
      <c r="A117" s="242"/>
      <c r="B117" s="76"/>
      <c r="C117" s="76"/>
      <c r="D117" s="77"/>
      <c r="E117" s="77"/>
      <c r="F117" s="77"/>
      <c r="G117" s="225"/>
      <c r="R117" s="12"/>
      <c r="S117" s="12"/>
      <c r="T117" s="12"/>
      <c r="V117" s="94"/>
    </row>
    <row r="118" spans="1:22" outlineLevel="1" x14ac:dyDescent="0.25">
      <c r="A118" s="235" t="s">
        <v>2</v>
      </c>
      <c r="B118" s="78">
        <f>SUM(B85,B91,B96,B100,B114)</f>
        <v>0</v>
      </c>
      <c r="C118" s="78">
        <f>SUM(C85,C91,C96,C100,C114)</f>
        <v>0</v>
      </c>
      <c r="D118" s="78">
        <f>SUM(D85,D91,D96,D100,D114)</f>
        <v>0</v>
      </c>
      <c r="E118" s="78">
        <f>SUM(E85,E91,E96,E100,E114)</f>
        <v>0</v>
      </c>
      <c r="F118" s="78">
        <f>SUM(F85,F91,F96,F100,F114)</f>
        <v>0</v>
      </c>
      <c r="G118" s="225">
        <f t="shared" ref="G118:G123" si="1">SUM(B118:F118)</f>
        <v>0</v>
      </c>
      <c r="H118" s="190"/>
      <c r="R118" s="12"/>
      <c r="S118" s="12"/>
      <c r="T118" s="12"/>
      <c r="V118" s="94"/>
    </row>
    <row r="119" spans="1:22" outlineLevel="1" x14ac:dyDescent="0.25">
      <c r="A119" s="234" t="s">
        <v>45</v>
      </c>
      <c r="B119" s="93">
        <f>-B91</f>
        <v>0</v>
      </c>
      <c r="C119" s="93">
        <f>-C91</f>
        <v>0</v>
      </c>
      <c r="D119" s="93">
        <f>-D91</f>
        <v>0</v>
      </c>
      <c r="E119" s="93">
        <f>-E91</f>
        <v>0</v>
      </c>
      <c r="F119" s="93">
        <f>-F91</f>
        <v>0</v>
      </c>
      <c r="G119" s="225">
        <f t="shared" si="1"/>
        <v>0</v>
      </c>
      <c r="H119" s="190"/>
      <c r="R119" s="12"/>
      <c r="S119" s="12"/>
      <c r="T119" s="12"/>
      <c r="V119" s="94"/>
    </row>
    <row r="120" spans="1:22" outlineLevel="1" x14ac:dyDescent="0.25">
      <c r="A120" s="244" t="s">
        <v>32</v>
      </c>
      <c r="B120" s="93">
        <f>-B103</f>
        <v>0</v>
      </c>
      <c r="C120" s="93">
        <f>-C103</f>
        <v>0</v>
      </c>
      <c r="D120" s="93">
        <f>-D103</f>
        <v>0</v>
      </c>
      <c r="E120" s="78">
        <f>-E103</f>
        <v>0</v>
      </c>
      <c r="F120" s="78">
        <f>-F103</f>
        <v>0</v>
      </c>
      <c r="G120" s="225">
        <f t="shared" si="1"/>
        <v>0</v>
      </c>
      <c r="H120" s="190"/>
      <c r="R120" s="12"/>
      <c r="S120" s="12"/>
      <c r="T120" s="12"/>
      <c r="V120" s="94"/>
    </row>
    <row r="121" spans="1:22" outlineLevel="1" x14ac:dyDescent="0.25">
      <c r="A121" s="244" t="s">
        <v>47</v>
      </c>
      <c r="B121" s="109">
        <f>-B100</f>
        <v>0</v>
      </c>
      <c r="C121" s="109">
        <f>-C100</f>
        <v>0</v>
      </c>
      <c r="D121" s="109">
        <f>-D100</f>
        <v>0</v>
      </c>
      <c r="E121" s="109">
        <f>-E100</f>
        <v>0</v>
      </c>
      <c r="F121" s="109">
        <f>-F100</f>
        <v>0</v>
      </c>
      <c r="G121" s="225">
        <f t="shared" si="1"/>
        <v>0</v>
      </c>
      <c r="H121" s="190"/>
      <c r="R121" s="12"/>
      <c r="S121" s="12"/>
      <c r="T121" s="12"/>
      <c r="V121" s="94"/>
    </row>
    <row r="122" spans="1:22" outlineLevel="1" x14ac:dyDescent="0.25">
      <c r="A122" s="244" t="s">
        <v>46</v>
      </c>
      <c r="B122" s="79">
        <v>0</v>
      </c>
      <c r="C122" s="79">
        <v>0</v>
      </c>
      <c r="D122" s="79">
        <v>0</v>
      </c>
      <c r="E122" s="79">
        <v>0</v>
      </c>
      <c r="F122" s="79">
        <v>0</v>
      </c>
      <c r="G122" s="203">
        <f t="shared" si="1"/>
        <v>0</v>
      </c>
      <c r="H122" s="190"/>
      <c r="R122" s="12"/>
      <c r="S122" s="12"/>
      <c r="T122" s="12"/>
      <c r="V122" s="94"/>
    </row>
    <row r="123" spans="1:22" x14ac:dyDescent="0.25">
      <c r="A123" s="224" t="s">
        <v>13</v>
      </c>
      <c r="B123" s="61">
        <f>ROUND(SUM(B118:B122),0)</f>
        <v>0</v>
      </c>
      <c r="C123" s="61">
        <f>ROUND(SUM(C118:C122),0)</f>
        <v>0</v>
      </c>
      <c r="D123" s="61">
        <f>ROUND(SUM(D118:D122),0)</f>
        <v>0</v>
      </c>
      <c r="E123" s="61">
        <f>ROUND(SUM(E118:E122),0)</f>
        <v>0</v>
      </c>
      <c r="F123" s="61">
        <f>ROUND(SUM(F118:F122),0)</f>
        <v>0</v>
      </c>
      <c r="G123" s="239">
        <f t="shared" si="1"/>
        <v>0</v>
      </c>
      <c r="H123" s="190"/>
      <c r="P123" s="193" t="s">
        <v>130</v>
      </c>
      <c r="Q123" s="193" t="s">
        <v>129</v>
      </c>
      <c r="R123" s="12"/>
      <c r="S123" s="12"/>
      <c r="T123" s="12"/>
      <c r="V123" s="94"/>
    </row>
    <row r="124" spans="1:22" x14ac:dyDescent="0.25">
      <c r="A124" s="245"/>
      <c r="B124" s="80"/>
      <c r="C124" s="80"/>
      <c r="D124" s="56"/>
      <c r="E124" s="56"/>
      <c r="F124" s="56"/>
      <c r="G124" s="203"/>
      <c r="P124" s="246"/>
      <c r="Q124" s="157" t="s">
        <v>120</v>
      </c>
      <c r="R124" s="12"/>
      <c r="S124" s="12"/>
      <c r="T124" s="12"/>
      <c r="V124" s="94"/>
    </row>
    <row r="125" spans="1:22" x14ac:dyDescent="0.25">
      <c r="A125" s="195" t="s">
        <v>30</v>
      </c>
      <c r="B125" s="80"/>
      <c r="C125" s="80"/>
      <c r="D125" s="56"/>
      <c r="E125" s="56"/>
      <c r="F125" s="56"/>
      <c r="G125" s="203"/>
      <c r="I125" s="193" t="s">
        <v>119</v>
      </c>
      <c r="J125" s="247" t="s">
        <v>121</v>
      </c>
      <c r="P125" s="157"/>
      <c r="Q125" s="157" t="s">
        <v>131</v>
      </c>
      <c r="R125" s="12"/>
      <c r="S125" s="12"/>
      <c r="T125" s="12"/>
      <c r="V125" s="94"/>
    </row>
    <row r="126" spans="1:22" x14ac:dyDescent="0.25">
      <c r="A126" s="244" t="str">
        <f>IF(J126="TC","F&amp;A Costs @ "&amp;ROUND(I126/(1-I126),4)*100&amp;"% TDC or " &amp;I126*100&amp;"% TC", "F&amp;A Costs @ "&amp;I126*100&amp;"% "&amp;J126)</f>
        <v>F&amp;A Costs @ 0% MTDC</v>
      </c>
      <c r="B126" s="56">
        <f>IF($J$126="MTDC",(B123*$I$126),IF($J$126="TDC",(B118*$I$126),IF($J$126="TC",(B118*($I$126/(1-$I$126))))))</f>
        <v>0</v>
      </c>
      <c r="C126" s="56">
        <f>IF($J$126="MTDC",(C123*$I$126),IF($J$126="TDC",(C118*$I$126),IF($J$126="TC",(C118*($I$126/(1-$I$126))))))</f>
        <v>0</v>
      </c>
      <c r="D126" s="56">
        <f>IF($J$126="MTDC",(D123*$I$126),IF($J$126="TDC",(D118*$I$126),IF($J$126="TC",(D118*($I$126/(1-$I$126))))))</f>
        <v>0</v>
      </c>
      <c r="E126" s="56">
        <f>IF($J$126="MTDC",(E123*$I$126),IF($J$126="TDC",(E118*$I$126),IF($J$126="TC",(E118*($I$126/(1-$I$126))))))</f>
        <v>0</v>
      </c>
      <c r="F126" s="56">
        <f>IF($J$126="MTDC",(F123*$I$126),IF($J$126="TDC",(F118*$I$126),IF($J$126="TC",(F118*($I$126/(1-$I$126))))))</f>
        <v>0</v>
      </c>
      <c r="G126" s="203">
        <f>SUM(B126:F126)</f>
        <v>0</v>
      </c>
      <c r="H126" s="190"/>
      <c r="I126" s="227">
        <v>0</v>
      </c>
      <c r="J126" s="226" t="s">
        <v>120</v>
      </c>
      <c r="P126" s="157"/>
      <c r="Q126" s="157" t="s">
        <v>132</v>
      </c>
      <c r="R126" s="12"/>
      <c r="S126" s="12"/>
      <c r="T126" s="12"/>
      <c r="V126" s="94"/>
    </row>
    <row r="127" spans="1:22" x14ac:dyDescent="0.25">
      <c r="A127" s="224" t="s">
        <v>53</v>
      </c>
      <c r="B127" s="61">
        <f>ROUND(SUM(B126:B126),0)</f>
        <v>0</v>
      </c>
      <c r="C127" s="61">
        <f>ROUND(SUM(C126:C126),0)</f>
        <v>0</v>
      </c>
      <c r="D127" s="61">
        <f>ROUND(SUM(D126:D126),0)</f>
        <v>0</v>
      </c>
      <c r="E127" s="61">
        <f>ROUND(SUM(E126:E126),0)</f>
        <v>0</v>
      </c>
      <c r="F127" s="61">
        <f>ROUND(SUM(F126:F126),0)</f>
        <v>0</v>
      </c>
      <c r="G127" s="239">
        <f>SUM(B127:F127)</f>
        <v>0</v>
      </c>
      <c r="H127" s="190"/>
      <c r="R127" s="12"/>
      <c r="S127" s="12"/>
      <c r="T127" s="12"/>
      <c r="V127" s="94"/>
    </row>
    <row r="128" spans="1:22" x14ac:dyDescent="0.25">
      <c r="A128" s="209"/>
      <c r="B128" s="56"/>
      <c r="C128" s="56"/>
      <c r="D128" s="56"/>
      <c r="E128" s="56"/>
      <c r="F128" s="56"/>
      <c r="G128" s="203"/>
      <c r="I128" s="248"/>
      <c r="R128" s="12"/>
      <c r="S128" s="12"/>
      <c r="T128" s="12"/>
      <c r="V128" s="94"/>
    </row>
    <row r="129" spans="1:22" x14ac:dyDescent="0.25">
      <c r="A129" s="230" t="s">
        <v>96</v>
      </c>
      <c r="B129" s="66">
        <f>B118+B127</f>
        <v>0</v>
      </c>
      <c r="C129" s="66">
        <f>C118+C127</f>
        <v>0</v>
      </c>
      <c r="D129" s="66">
        <f>D118+D127</f>
        <v>0</v>
      </c>
      <c r="E129" s="66">
        <f>E118+E127</f>
        <v>0</v>
      </c>
      <c r="F129" s="66">
        <f>F118+F127</f>
        <v>0</v>
      </c>
      <c r="G129" s="231">
        <f>SUM(B129:F129)</f>
        <v>0</v>
      </c>
      <c r="H129" s="190"/>
      <c r="R129" s="12"/>
      <c r="S129" s="12"/>
      <c r="T129" s="12"/>
      <c r="V129" s="94"/>
    </row>
    <row r="130" spans="1:22" ht="16.5" thickBot="1" x14ac:dyDescent="0.3">
      <c r="R130" s="12"/>
      <c r="S130" s="12"/>
      <c r="T130" s="12"/>
      <c r="V130" s="94"/>
    </row>
    <row r="131" spans="1:22" ht="45" customHeight="1" thickBot="1" x14ac:dyDescent="0.3">
      <c r="A131" s="492" t="s">
        <v>57</v>
      </c>
      <c r="B131" s="493"/>
      <c r="C131" s="493"/>
      <c r="D131" s="493"/>
      <c r="E131" s="493"/>
      <c r="F131" s="493"/>
      <c r="G131" s="494"/>
    </row>
    <row r="134" spans="1:22" x14ac:dyDescent="0.25">
      <c r="A134" s="249"/>
    </row>
  </sheetData>
  <sheetProtection formatCells="0" formatColumns="0" formatRows="0" insertRows="0" deleteColumns="0" deleteRows="0" selectLockedCells="1" sort="0"/>
  <mergeCells count="13">
    <mergeCell ref="A21:A22"/>
    <mergeCell ref="I1:O1"/>
    <mergeCell ref="A2:G2"/>
    <mergeCell ref="A4:G4"/>
    <mergeCell ref="A9:A10"/>
    <mergeCell ref="A15:A16"/>
    <mergeCell ref="A131:G131"/>
    <mergeCell ref="A27:A28"/>
    <mergeCell ref="A33:A34"/>
    <mergeCell ref="A39:A40"/>
    <mergeCell ref="A55:A56"/>
    <mergeCell ref="A60:A61"/>
    <mergeCell ref="A65:A66"/>
  </mergeCells>
  <dataValidations count="2">
    <dataValidation type="list" allowBlank="1" showInputMessage="1" showErrorMessage="1" sqref="J126" xr:uid="{00000000-0002-0000-0B00-000000000000}">
      <formula1>$Q$124:$Q$126</formula1>
    </dataValidation>
    <dataValidation type="list" allowBlank="1" showInputMessage="1" showErrorMessage="1" sqref="U11 U17 U23 U29 U35 U41 U63 U58 U53" xr:uid="{00000000-0002-0000-0B00-000001000000}">
      <formula1>$R$3:$R$4</formula1>
    </dataValidation>
  </dataValidations>
  <printOptions horizontalCentered="1"/>
  <pageMargins left="0.5" right="0.5" top="0.5" bottom="0.5" header="0.25" footer="0.25"/>
  <pageSetup scale="34"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2"/>
  <sheetViews>
    <sheetView zoomScale="80" zoomScaleNormal="80" workbookViewId="0"/>
  </sheetViews>
  <sheetFormatPr defaultColWidth="9.28515625" defaultRowHeight="15.75" x14ac:dyDescent="0.25"/>
  <cols>
    <col min="1" max="1" width="22.7109375" style="12" bestFit="1" customWidth="1"/>
    <col min="2" max="2" width="8.42578125" style="94" bestFit="1" customWidth="1"/>
    <col min="3" max="3" width="14.28515625" style="94" bestFit="1" customWidth="1"/>
    <col min="4" max="4" width="17.28515625" style="12" bestFit="1" customWidth="1"/>
    <col min="5" max="5" width="15.42578125" style="12" bestFit="1" customWidth="1"/>
    <col min="6" max="6" width="10.7109375" style="12" bestFit="1" customWidth="1"/>
    <col min="7" max="7" width="13.7109375" style="12" bestFit="1" customWidth="1"/>
    <col min="8" max="8" width="14.28515625" style="12" bestFit="1" customWidth="1"/>
    <col min="9" max="9" width="11.7109375" style="12" bestFit="1" customWidth="1"/>
    <col min="10" max="10" width="14.7109375" style="12" bestFit="1" customWidth="1"/>
    <col min="11" max="11" width="25.28515625" style="12" bestFit="1" customWidth="1"/>
    <col min="12" max="12" width="19.42578125" style="12" customWidth="1"/>
    <col min="13" max="13" width="9.28515625" style="12"/>
    <col min="14" max="14" width="22.42578125" style="12" bestFit="1" customWidth="1"/>
    <col min="15" max="15" width="8.42578125" style="12" bestFit="1" customWidth="1"/>
    <col min="16" max="16" width="14.28515625" style="12" bestFit="1" customWidth="1"/>
    <col min="17" max="17" width="17.28515625" style="12" bestFit="1" customWidth="1"/>
    <col min="18" max="18" width="15.42578125" style="12" bestFit="1" customWidth="1"/>
    <col min="19" max="19" width="10.7109375" style="12" bestFit="1" customWidth="1"/>
    <col min="20" max="20" width="13.7109375" style="12" bestFit="1" customWidth="1"/>
    <col min="21" max="21" width="14.28515625" style="12" bestFit="1" customWidth="1"/>
    <col min="22" max="22" width="11.7109375" style="12" bestFit="1" customWidth="1"/>
    <col min="23" max="23" width="14.7109375" style="12" bestFit="1" customWidth="1"/>
    <col min="24" max="24" width="24.7109375" style="12" bestFit="1" customWidth="1"/>
    <col min="25" max="25" width="19.28515625" style="12" customWidth="1"/>
    <col min="26" max="16384" width="9.28515625" style="12"/>
  </cols>
  <sheetData>
    <row r="1" spans="1:25" ht="18.75" x14ac:dyDescent="0.3">
      <c r="A1" s="48" t="s">
        <v>35</v>
      </c>
      <c r="N1" s="48" t="s">
        <v>34</v>
      </c>
      <c r="O1" s="94"/>
      <c r="P1" s="94"/>
    </row>
    <row r="2" spans="1:25" x14ac:dyDescent="0.25">
      <c r="O2" s="94"/>
      <c r="P2" s="94"/>
    </row>
    <row r="3" spans="1:25" x14ac:dyDescent="0.25">
      <c r="A3" s="32" t="s">
        <v>36</v>
      </c>
      <c r="B3" s="96"/>
      <c r="C3" s="96"/>
      <c r="D3" s="33"/>
      <c r="E3" s="33"/>
      <c r="F3" s="33"/>
      <c r="G3" s="33"/>
      <c r="H3" s="33"/>
      <c r="I3" s="33"/>
      <c r="J3" s="33"/>
      <c r="K3" s="33"/>
      <c r="L3" s="34"/>
      <c r="N3" s="32" t="s">
        <v>36</v>
      </c>
      <c r="O3" s="96"/>
      <c r="P3" s="96"/>
      <c r="Q3" s="33"/>
      <c r="R3" s="33"/>
      <c r="S3" s="33"/>
      <c r="T3" s="33"/>
      <c r="U3" s="33"/>
      <c r="V3" s="33"/>
      <c r="W3" s="33"/>
      <c r="X3" s="33"/>
      <c r="Y3" s="34"/>
    </row>
    <row r="4" spans="1:25" s="81" customFormat="1" ht="31.5" x14ac:dyDescent="0.25">
      <c r="A4" s="87" t="s">
        <v>79</v>
      </c>
      <c r="B4" s="88" t="s">
        <v>19</v>
      </c>
      <c r="C4" s="88" t="s">
        <v>20</v>
      </c>
      <c r="D4" s="88" t="s">
        <v>93</v>
      </c>
      <c r="E4" s="88" t="s">
        <v>101</v>
      </c>
      <c r="F4" s="88" t="s">
        <v>21</v>
      </c>
      <c r="G4" s="88" t="s">
        <v>22</v>
      </c>
      <c r="H4" s="88" t="s">
        <v>104</v>
      </c>
      <c r="I4" s="88" t="s">
        <v>55</v>
      </c>
      <c r="J4" s="88" t="s">
        <v>199</v>
      </c>
      <c r="K4" s="88" t="s">
        <v>94</v>
      </c>
      <c r="L4" s="88" t="s">
        <v>10</v>
      </c>
      <c r="N4" s="87" t="s">
        <v>79</v>
      </c>
      <c r="O4" s="88" t="s">
        <v>19</v>
      </c>
      <c r="P4" s="88" t="s">
        <v>20</v>
      </c>
      <c r="Q4" s="88" t="s">
        <v>93</v>
      </c>
      <c r="R4" s="88" t="s">
        <v>101</v>
      </c>
      <c r="S4" s="88" t="s">
        <v>21</v>
      </c>
      <c r="T4" s="88" t="s">
        <v>22</v>
      </c>
      <c r="U4" s="88" t="s">
        <v>104</v>
      </c>
      <c r="V4" s="88" t="s">
        <v>55</v>
      </c>
      <c r="W4" s="88" t="s">
        <v>199</v>
      </c>
      <c r="X4" s="88" t="s">
        <v>94</v>
      </c>
      <c r="Y4" s="88" t="s">
        <v>10</v>
      </c>
    </row>
    <row r="5" spans="1:25" x14ac:dyDescent="0.25">
      <c r="A5" s="98"/>
      <c r="B5" s="99"/>
      <c r="C5" s="99"/>
      <c r="D5" s="97"/>
      <c r="E5" s="97"/>
      <c r="F5" s="97"/>
      <c r="G5" s="97"/>
      <c r="H5" s="97"/>
      <c r="I5" s="97"/>
      <c r="J5" s="97"/>
      <c r="K5" s="254">
        <f>F5+G5*(E5+1)+H5*E5+I5+J5</f>
        <v>0</v>
      </c>
      <c r="L5" s="36">
        <f>K5*B5*C5</f>
        <v>0</v>
      </c>
      <c r="N5" s="98"/>
      <c r="O5" s="99"/>
      <c r="P5" s="99"/>
      <c r="Q5" s="97"/>
      <c r="R5" s="97"/>
      <c r="S5" s="97"/>
      <c r="T5" s="97"/>
      <c r="U5" s="97"/>
      <c r="V5" s="97"/>
      <c r="W5" s="97"/>
      <c r="X5" s="254">
        <f>S5+T5*(R5+1)+U5*R5+V5+W5</f>
        <v>0</v>
      </c>
      <c r="Y5" s="36">
        <f>X5*O5*P5</f>
        <v>0</v>
      </c>
    </row>
    <row r="6" spans="1:25" x14ac:dyDescent="0.25">
      <c r="A6" s="97"/>
      <c r="B6" s="99"/>
      <c r="C6" s="99"/>
      <c r="D6" s="97"/>
      <c r="E6" s="97"/>
      <c r="F6" s="97"/>
      <c r="G6" s="97"/>
      <c r="H6" s="97"/>
      <c r="I6" s="97"/>
      <c r="J6" s="97"/>
      <c r="K6" s="254">
        <f>F6+G6*(E6+1)+H6*E6+I6+J6</f>
        <v>0</v>
      </c>
      <c r="L6" s="36">
        <f>K6*B6*C6</f>
        <v>0</v>
      </c>
      <c r="N6" s="97"/>
      <c r="O6" s="99"/>
      <c r="P6" s="99"/>
      <c r="Q6" s="97"/>
      <c r="R6" s="97"/>
      <c r="S6" s="97"/>
      <c r="T6" s="97"/>
      <c r="U6" s="97"/>
      <c r="V6" s="97"/>
      <c r="W6" s="97"/>
      <c r="X6" s="254">
        <f>S6+T6*(R6+1)+U6*R6+V6+W6</f>
        <v>0</v>
      </c>
      <c r="Y6" s="36">
        <f>X6*O6*P6</f>
        <v>0</v>
      </c>
    </row>
    <row r="7" spans="1:25" x14ac:dyDescent="0.25">
      <c r="A7" s="97"/>
      <c r="B7" s="99"/>
      <c r="C7" s="99"/>
      <c r="D7" s="97"/>
      <c r="E7" s="97"/>
      <c r="F7" s="97"/>
      <c r="G7" s="97"/>
      <c r="H7" s="97"/>
      <c r="I7" s="97"/>
      <c r="J7" s="97"/>
      <c r="K7" s="254">
        <f>F7+G7*(E7+1)+H7*E7+I7+J7</f>
        <v>0</v>
      </c>
      <c r="L7" s="36">
        <f>K7*B7*C7</f>
        <v>0</v>
      </c>
      <c r="N7" s="97"/>
      <c r="O7" s="99"/>
      <c r="P7" s="99"/>
      <c r="Q7" s="97"/>
      <c r="R7" s="97"/>
      <c r="S7" s="97"/>
      <c r="T7" s="97"/>
      <c r="U7" s="97"/>
      <c r="V7" s="97"/>
      <c r="W7" s="97"/>
      <c r="X7" s="254">
        <f>S7+T7*(R7+1)+U7*R7+V7+W7</f>
        <v>0</v>
      </c>
      <c r="Y7" s="36">
        <f>X7*O7*P7</f>
        <v>0</v>
      </c>
    </row>
    <row r="8" spans="1:25" x14ac:dyDescent="0.25">
      <c r="A8" s="97"/>
      <c r="B8" s="99"/>
      <c r="C8" s="99"/>
      <c r="D8" s="97"/>
      <c r="E8" s="97"/>
      <c r="F8" s="97"/>
      <c r="G8" s="97"/>
      <c r="H8" s="97"/>
      <c r="I8" s="97"/>
      <c r="J8" s="97"/>
      <c r="K8" s="254">
        <f>F8+G8*(E8+1)+H8*E8+I8+J8</f>
        <v>0</v>
      </c>
      <c r="L8" s="36">
        <f>K8*B8*C8</f>
        <v>0</v>
      </c>
      <c r="N8" s="97"/>
      <c r="O8" s="99"/>
      <c r="P8" s="99"/>
      <c r="Q8" s="97"/>
      <c r="R8" s="97"/>
      <c r="S8" s="97"/>
      <c r="T8" s="97"/>
      <c r="U8" s="97"/>
      <c r="V8" s="97"/>
      <c r="W8" s="97"/>
      <c r="X8" s="254">
        <f>S8+T8*(R8+1)+U8*R8+V8+W8</f>
        <v>0</v>
      </c>
      <c r="Y8" s="36">
        <f>X8*O8*P8</f>
        <v>0</v>
      </c>
    </row>
    <row r="9" spans="1:25" x14ac:dyDescent="0.25">
      <c r="A9" s="97"/>
      <c r="B9" s="99"/>
      <c r="C9" s="99"/>
      <c r="D9" s="97"/>
      <c r="E9" s="97"/>
      <c r="F9" s="97"/>
      <c r="G9" s="97"/>
      <c r="H9" s="97"/>
      <c r="I9" s="97"/>
      <c r="J9" s="97"/>
      <c r="K9" s="254">
        <f>F9+G9*(E9+1)+H9*E9+I9+J9</f>
        <v>0</v>
      </c>
      <c r="L9" s="36">
        <f>K9*B9*C9</f>
        <v>0</v>
      </c>
      <c r="N9" s="97"/>
      <c r="O9" s="99"/>
      <c r="P9" s="99"/>
      <c r="Q9" s="97"/>
      <c r="R9" s="97"/>
      <c r="S9" s="97"/>
      <c r="T9" s="97"/>
      <c r="U9" s="97"/>
      <c r="V9" s="97"/>
      <c r="W9" s="97"/>
      <c r="X9" s="254">
        <f>S9+T9*(R9+1)+U9*R9+V9+W9</f>
        <v>0</v>
      </c>
      <c r="Y9" s="36">
        <f>X9*O9*P9</f>
        <v>0</v>
      </c>
    </row>
    <row r="10" spans="1:25" ht="16.5" thickBot="1" x14ac:dyDescent="0.3">
      <c r="A10" s="470" t="s">
        <v>67</v>
      </c>
      <c r="B10" s="470"/>
      <c r="C10" s="470"/>
      <c r="D10" s="470"/>
      <c r="E10" s="470"/>
      <c r="F10" s="470"/>
      <c r="G10" s="470"/>
      <c r="H10" s="470"/>
      <c r="I10" s="470"/>
      <c r="J10" s="470"/>
      <c r="K10" s="470"/>
      <c r="L10" s="86">
        <f>SUM(L5:L9)</f>
        <v>0</v>
      </c>
      <c r="N10" s="470" t="s">
        <v>72</v>
      </c>
      <c r="O10" s="470"/>
      <c r="P10" s="470"/>
      <c r="Q10" s="470"/>
      <c r="R10" s="470"/>
      <c r="S10" s="470"/>
      <c r="T10" s="470"/>
      <c r="U10" s="470"/>
      <c r="V10" s="470"/>
      <c r="W10" s="470"/>
      <c r="X10" s="470"/>
      <c r="Y10" s="86">
        <f>SUM(Y5:Y9)</f>
        <v>0</v>
      </c>
    </row>
    <row r="11" spans="1:25" ht="16.5" thickTop="1" x14ac:dyDescent="0.25">
      <c r="O11" s="94"/>
      <c r="P11" s="94"/>
    </row>
    <row r="12" spans="1:25" x14ac:dyDescent="0.25">
      <c r="O12" s="94"/>
      <c r="P12" s="94"/>
    </row>
    <row r="13" spans="1:25" x14ac:dyDescent="0.25">
      <c r="A13" s="32" t="s">
        <v>60</v>
      </c>
      <c r="B13" s="96"/>
      <c r="C13" s="96"/>
      <c r="D13" s="33"/>
      <c r="E13" s="33"/>
      <c r="F13" s="33"/>
      <c r="G13" s="33"/>
      <c r="H13" s="33"/>
      <c r="I13" s="33"/>
      <c r="J13" s="33"/>
      <c r="K13" s="33"/>
      <c r="L13" s="34"/>
      <c r="N13" s="32" t="s">
        <v>60</v>
      </c>
      <c r="O13" s="96"/>
      <c r="P13" s="96"/>
      <c r="Q13" s="33"/>
      <c r="R13" s="33"/>
      <c r="S13" s="33"/>
      <c r="T13" s="33"/>
      <c r="U13" s="33"/>
      <c r="V13" s="33"/>
      <c r="W13" s="33"/>
      <c r="X13" s="33"/>
      <c r="Y13" s="34"/>
    </row>
    <row r="14" spans="1:25" s="81" customFormat="1" ht="31.5" x14ac:dyDescent="0.25">
      <c r="A14" s="87" t="s">
        <v>79</v>
      </c>
      <c r="B14" s="88" t="s">
        <v>19</v>
      </c>
      <c r="C14" s="88" t="s">
        <v>20</v>
      </c>
      <c r="D14" s="88" t="s">
        <v>93</v>
      </c>
      <c r="E14" s="88" t="s">
        <v>101</v>
      </c>
      <c r="F14" s="88" t="s">
        <v>21</v>
      </c>
      <c r="G14" s="88" t="s">
        <v>22</v>
      </c>
      <c r="H14" s="88" t="s">
        <v>104</v>
      </c>
      <c r="I14" s="88" t="s">
        <v>55</v>
      </c>
      <c r="J14" s="88" t="s">
        <v>199</v>
      </c>
      <c r="K14" s="88" t="s">
        <v>23</v>
      </c>
      <c r="L14" s="88" t="s">
        <v>10</v>
      </c>
      <c r="N14" s="87" t="s">
        <v>79</v>
      </c>
      <c r="O14" s="88" t="s">
        <v>19</v>
      </c>
      <c r="P14" s="88" t="s">
        <v>20</v>
      </c>
      <c r="Q14" s="88" t="s">
        <v>93</v>
      </c>
      <c r="R14" s="88" t="s">
        <v>101</v>
      </c>
      <c r="S14" s="88" t="s">
        <v>21</v>
      </c>
      <c r="T14" s="88" t="s">
        <v>22</v>
      </c>
      <c r="U14" s="88" t="s">
        <v>104</v>
      </c>
      <c r="V14" s="88" t="s">
        <v>55</v>
      </c>
      <c r="W14" s="88" t="s">
        <v>199</v>
      </c>
      <c r="X14" s="88" t="s">
        <v>94</v>
      </c>
      <c r="Y14" s="88" t="s">
        <v>10</v>
      </c>
    </row>
    <row r="15" spans="1:25" x14ac:dyDescent="0.25">
      <c r="A15" s="98"/>
      <c r="B15" s="99"/>
      <c r="C15" s="99"/>
      <c r="D15" s="97"/>
      <c r="E15" s="97"/>
      <c r="F15" s="97"/>
      <c r="G15" s="97"/>
      <c r="H15" s="97"/>
      <c r="I15" s="97"/>
      <c r="J15" s="97"/>
      <c r="K15" s="254">
        <f>F15+G15*(E15+1)+H15*E15+I15+J15</f>
        <v>0</v>
      </c>
      <c r="L15" s="36">
        <f>K15*B15*C15</f>
        <v>0</v>
      </c>
      <c r="N15" s="98"/>
      <c r="O15" s="99"/>
      <c r="P15" s="99"/>
      <c r="Q15" s="97"/>
      <c r="R15" s="97"/>
      <c r="S15" s="97"/>
      <c r="T15" s="97"/>
      <c r="U15" s="97"/>
      <c r="V15" s="97"/>
      <c r="W15" s="97"/>
      <c r="X15" s="254">
        <f>S15+T15*(R15+1)+U15*R15+V15+W15</f>
        <v>0</v>
      </c>
      <c r="Y15" s="36">
        <f>X15*O15*P15</f>
        <v>0</v>
      </c>
    </row>
    <row r="16" spans="1:25" x14ac:dyDescent="0.25">
      <c r="A16" s="97"/>
      <c r="B16" s="99"/>
      <c r="C16" s="99"/>
      <c r="D16" s="97"/>
      <c r="E16" s="97"/>
      <c r="F16" s="97"/>
      <c r="G16" s="97"/>
      <c r="H16" s="97"/>
      <c r="I16" s="97"/>
      <c r="J16" s="97"/>
      <c r="K16" s="254">
        <f>F16+G16*(E16+1)+H16*E16+I16+J16</f>
        <v>0</v>
      </c>
      <c r="L16" s="36">
        <f>K16*B16*C16</f>
        <v>0</v>
      </c>
      <c r="N16" s="97"/>
      <c r="O16" s="99"/>
      <c r="P16" s="99"/>
      <c r="Q16" s="97"/>
      <c r="R16" s="97"/>
      <c r="S16" s="97"/>
      <c r="T16" s="97"/>
      <c r="U16" s="97"/>
      <c r="V16" s="97"/>
      <c r="W16" s="97"/>
      <c r="X16" s="254">
        <f>S16+T16*(R16+1)+U16*R16+V16+W16</f>
        <v>0</v>
      </c>
      <c r="Y16" s="36">
        <f>X16*O16*P16</f>
        <v>0</v>
      </c>
    </row>
    <row r="17" spans="1:25" x14ac:dyDescent="0.25">
      <c r="A17" s="97"/>
      <c r="B17" s="99"/>
      <c r="C17" s="99"/>
      <c r="D17" s="97"/>
      <c r="E17" s="97"/>
      <c r="F17" s="97"/>
      <c r="G17" s="97"/>
      <c r="H17" s="97"/>
      <c r="I17" s="97"/>
      <c r="J17" s="97"/>
      <c r="K17" s="254">
        <f>F17+G17*(E17+1)+H17*E17+I17+J17</f>
        <v>0</v>
      </c>
      <c r="L17" s="36">
        <f>K17*B17*C17</f>
        <v>0</v>
      </c>
      <c r="N17" s="97"/>
      <c r="O17" s="99"/>
      <c r="P17" s="99"/>
      <c r="Q17" s="97"/>
      <c r="R17" s="97"/>
      <c r="S17" s="97"/>
      <c r="T17" s="97"/>
      <c r="U17" s="97"/>
      <c r="V17" s="97"/>
      <c r="W17" s="97"/>
      <c r="X17" s="254">
        <f>S17+T17*(R17+1)+U17*R17+V17+W17</f>
        <v>0</v>
      </c>
      <c r="Y17" s="36">
        <f>X17*O17*P17</f>
        <v>0</v>
      </c>
    </row>
    <row r="18" spans="1:25" x14ac:dyDescent="0.25">
      <c r="A18" s="97"/>
      <c r="B18" s="99"/>
      <c r="C18" s="99"/>
      <c r="D18" s="97"/>
      <c r="E18" s="97"/>
      <c r="F18" s="97"/>
      <c r="G18" s="97"/>
      <c r="H18" s="97"/>
      <c r="I18" s="97"/>
      <c r="J18" s="97"/>
      <c r="K18" s="254">
        <f>F18+G18*(E18+1)+H18*E18+I18+J18</f>
        <v>0</v>
      </c>
      <c r="L18" s="36">
        <f>K18*B18*C18</f>
        <v>0</v>
      </c>
      <c r="N18" s="97"/>
      <c r="O18" s="99"/>
      <c r="P18" s="99"/>
      <c r="Q18" s="97"/>
      <c r="R18" s="97"/>
      <c r="S18" s="97"/>
      <c r="T18" s="97"/>
      <c r="U18" s="97"/>
      <c r="V18" s="97"/>
      <c r="W18" s="97"/>
      <c r="X18" s="254">
        <f>S18+T18*(R18+1)+U18*R18+V18+W18</f>
        <v>0</v>
      </c>
      <c r="Y18" s="36">
        <f>X18*O18*P18</f>
        <v>0</v>
      </c>
    </row>
    <row r="19" spans="1:25" x14ac:dyDescent="0.25">
      <c r="A19" s="97"/>
      <c r="B19" s="99"/>
      <c r="C19" s="99"/>
      <c r="D19" s="97"/>
      <c r="E19" s="97"/>
      <c r="F19" s="97"/>
      <c r="G19" s="97"/>
      <c r="H19" s="97"/>
      <c r="I19" s="97"/>
      <c r="J19" s="97"/>
      <c r="K19" s="254">
        <f>F19+G19*(E19+1)+H19*E19+I19+J19</f>
        <v>0</v>
      </c>
      <c r="L19" s="36">
        <f>K19*B19*C19</f>
        <v>0</v>
      </c>
      <c r="N19" s="97"/>
      <c r="O19" s="99"/>
      <c r="P19" s="99"/>
      <c r="Q19" s="97"/>
      <c r="R19" s="97"/>
      <c r="S19" s="97"/>
      <c r="T19" s="97"/>
      <c r="U19" s="97"/>
      <c r="V19" s="97"/>
      <c r="W19" s="97"/>
      <c r="X19" s="254">
        <f>S19+T19*(R19+1)+U19*R19+V19+W19</f>
        <v>0</v>
      </c>
      <c r="Y19" s="36">
        <f>X19*O19*P19</f>
        <v>0</v>
      </c>
    </row>
    <row r="20" spans="1:25" ht="16.5" thickBot="1" x14ac:dyDescent="0.3">
      <c r="A20" s="470" t="s">
        <v>68</v>
      </c>
      <c r="B20" s="470"/>
      <c r="C20" s="470"/>
      <c r="D20" s="470"/>
      <c r="E20" s="470"/>
      <c r="F20" s="470"/>
      <c r="G20" s="470"/>
      <c r="H20" s="470"/>
      <c r="I20" s="470"/>
      <c r="J20" s="470"/>
      <c r="K20" s="470"/>
      <c r="L20" s="86">
        <f>SUM(L15:L19)</f>
        <v>0</v>
      </c>
      <c r="N20" s="470" t="s">
        <v>73</v>
      </c>
      <c r="O20" s="470"/>
      <c r="P20" s="470"/>
      <c r="Q20" s="470"/>
      <c r="R20" s="470"/>
      <c r="S20" s="470"/>
      <c r="T20" s="470"/>
      <c r="U20" s="470"/>
      <c r="V20" s="470"/>
      <c r="W20" s="470"/>
      <c r="X20" s="470"/>
      <c r="Y20" s="86">
        <f>SUM(Y15:Y19)</f>
        <v>0</v>
      </c>
    </row>
    <row r="21" spans="1:25" ht="16.5" thickTop="1" x14ac:dyDescent="0.25">
      <c r="O21" s="94"/>
      <c r="P21" s="94"/>
    </row>
    <row r="22" spans="1:25" x14ac:dyDescent="0.25">
      <c r="O22" s="94"/>
      <c r="P22" s="94"/>
    </row>
    <row r="23" spans="1:25" x14ac:dyDescent="0.25">
      <c r="A23" s="32" t="s">
        <v>61</v>
      </c>
      <c r="B23" s="96"/>
      <c r="C23" s="96"/>
      <c r="D23" s="33"/>
      <c r="E23" s="33"/>
      <c r="F23" s="33"/>
      <c r="G23" s="33"/>
      <c r="H23" s="33"/>
      <c r="I23" s="33"/>
      <c r="J23" s="33"/>
      <c r="K23" s="33"/>
      <c r="L23" s="34"/>
      <c r="N23" s="32" t="s">
        <v>61</v>
      </c>
      <c r="O23" s="96"/>
      <c r="P23" s="96"/>
      <c r="Q23" s="33"/>
      <c r="R23" s="33"/>
      <c r="S23" s="33"/>
      <c r="T23" s="33"/>
      <c r="U23" s="33"/>
      <c r="V23" s="33"/>
      <c r="W23" s="33"/>
      <c r="X23" s="33"/>
      <c r="Y23" s="34"/>
    </row>
    <row r="24" spans="1:25" s="81" customFormat="1" ht="31.5" x14ac:dyDescent="0.25">
      <c r="A24" s="87" t="s">
        <v>79</v>
      </c>
      <c r="B24" s="88" t="s">
        <v>19</v>
      </c>
      <c r="C24" s="88" t="s">
        <v>20</v>
      </c>
      <c r="D24" s="88" t="s">
        <v>93</v>
      </c>
      <c r="E24" s="88" t="s">
        <v>101</v>
      </c>
      <c r="F24" s="88" t="s">
        <v>21</v>
      </c>
      <c r="G24" s="88" t="s">
        <v>22</v>
      </c>
      <c r="H24" s="88" t="s">
        <v>104</v>
      </c>
      <c r="I24" s="88" t="s">
        <v>55</v>
      </c>
      <c r="J24" s="88" t="s">
        <v>199</v>
      </c>
      <c r="K24" s="88" t="s">
        <v>23</v>
      </c>
      <c r="L24" s="88" t="s">
        <v>10</v>
      </c>
      <c r="N24" s="87" t="s">
        <v>79</v>
      </c>
      <c r="O24" s="88" t="s">
        <v>19</v>
      </c>
      <c r="P24" s="88" t="s">
        <v>20</v>
      </c>
      <c r="Q24" s="88" t="s">
        <v>93</v>
      </c>
      <c r="R24" s="88" t="s">
        <v>101</v>
      </c>
      <c r="S24" s="88" t="s">
        <v>21</v>
      </c>
      <c r="T24" s="88" t="s">
        <v>22</v>
      </c>
      <c r="U24" s="88" t="s">
        <v>104</v>
      </c>
      <c r="V24" s="88" t="s">
        <v>55</v>
      </c>
      <c r="W24" s="88" t="s">
        <v>199</v>
      </c>
      <c r="X24" s="88" t="s">
        <v>94</v>
      </c>
      <c r="Y24" s="88" t="s">
        <v>10</v>
      </c>
    </row>
    <row r="25" spans="1:25" x14ac:dyDescent="0.25">
      <c r="A25" s="98"/>
      <c r="B25" s="99"/>
      <c r="C25" s="99"/>
      <c r="D25" s="97"/>
      <c r="E25" s="97"/>
      <c r="F25" s="97"/>
      <c r="G25" s="97"/>
      <c r="H25" s="97"/>
      <c r="I25" s="97"/>
      <c r="J25" s="97"/>
      <c r="K25" s="254">
        <f>F25+G25*(E25+1)+H25*E25+I25+J25</f>
        <v>0</v>
      </c>
      <c r="L25" s="36">
        <f>K25*B25*C25</f>
        <v>0</v>
      </c>
      <c r="N25" s="98"/>
      <c r="O25" s="99"/>
      <c r="P25" s="99"/>
      <c r="Q25" s="97"/>
      <c r="R25" s="97"/>
      <c r="S25" s="97"/>
      <c r="T25" s="97"/>
      <c r="U25" s="97"/>
      <c r="V25" s="97"/>
      <c r="W25" s="97"/>
      <c r="X25" s="254">
        <f>S25+T25*(R25+1)+U25*R25+V25+W25</f>
        <v>0</v>
      </c>
      <c r="Y25" s="36">
        <f>X25*O25*P25</f>
        <v>0</v>
      </c>
    </row>
    <row r="26" spans="1:25" x14ac:dyDescent="0.25">
      <c r="A26" s="97"/>
      <c r="B26" s="99"/>
      <c r="C26" s="99"/>
      <c r="D26" s="97"/>
      <c r="E26" s="97"/>
      <c r="F26" s="97"/>
      <c r="G26" s="97"/>
      <c r="H26" s="97"/>
      <c r="I26" s="97"/>
      <c r="J26" s="97"/>
      <c r="K26" s="254">
        <f>F26+G26*(E26+1)+H26*E26+I26+J26</f>
        <v>0</v>
      </c>
      <c r="L26" s="36">
        <f>K26*B26*C26</f>
        <v>0</v>
      </c>
      <c r="N26" s="97"/>
      <c r="O26" s="99"/>
      <c r="P26" s="99"/>
      <c r="Q26" s="97"/>
      <c r="R26" s="97"/>
      <c r="S26" s="97"/>
      <c r="T26" s="97"/>
      <c r="U26" s="97"/>
      <c r="V26" s="97"/>
      <c r="W26" s="97"/>
      <c r="X26" s="254">
        <f>S26+T26*(R26+1)+U26*R26+V26+W26</f>
        <v>0</v>
      </c>
      <c r="Y26" s="36">
        <f>X26*O26*P26</f>
        <v>0</v>
      </c>
    </row>
    <row r="27" spans="1:25" x14ac:dyDescent="0.25">
      <c r="A27" s="97"/>
      <c r="B27" s="99"/>
      <c r="C27" s="99"/>
      <c r="D27" s="97"/>
      <c r="E27" s="97"/>
      <c r="F27" s="97"/>
      <c r="G27" s="97"/>
      <c r="H27" s="97"/>
      <c r="I27" s="97"/>
      <c r="J27" s="97"/>
      <c r="K27" s="254">
        <f>F27+G27*(E27+1)+H27*E27+I27+J27</f>
        <v>0</v>
      </c>
      <c r="L27" s="36">
        <f>K27*B27*C27</f>
        <v>0</v>
      </c>
      <c r="N27" s="97"/>
      <c r="O27" s="99"/>
      <c r="P27" s="99"/>
      <c r="Q27" s="97"/>
      <c r="R27" s="97"/>
      <c r="S27" s="97"/>
      <c r="T27" s="97"/>
      <c r="U27" s="97"/>
      <c r="V27" s="97"/>
      <c r="W27" s="97"/>
      <c r="X27" s="254">
        <f>S27+T27*(R27+1)+U27*R27+V27+W27</f>
        <v>0</v>
      </c>
      <c r="Y27" s="36">
        <f>X27*O27*P27</f>
        <v>0</v>
      </c>
    </row>
    <row r="28" spans="1:25" x14ac:dyDescent="0.25">
      <c r="A28" s="97"/>
      <c r="B28" s="99"/>
      <c r="C28" s="99"/>
      <c r="D28" s="97"/>
      <c r="E28" s="97"/>
      <c r="F28" s="97"/>
      <c r="G28" s="97"/>
      <c r="H28" s="97"/>
      <c r="I28" s="97"/>
      <c r="J28" s="97"/>
      <c r="K28" s="254">
        <f>F28+G28*(E28+1)+H28*E28+I28+J28</f>
        <v>0</v>
      </c>
      <c r="L28" s="36">
        <f>K28*B28*C28</f>
        <v>0</v>
      </c>
      <c r="N28" s="97"/>
      <c r="O28" s="99"/>
      <c r="P28" s="99"/>
      <c r="Q28" s="97"/>
      <c r="R28" s="97"/>
      <c r="S28" s="97"/>
      <c r="T28" s="97"/>
      <c r="U28" s="97"/>
      <c r="V28" s="97"/>
      <c r="W28" s="97"/>
      <c r="X28" s="254">
        <f>S28+T28*(R28+1)+U28*R28+V28+W28</f>
        <v>0</v>
      </c>
      <c r="Y28" s="36">
        <f>X28*O28*P28</f>
        <v>0</v>
      </c>
    </row>
    <row r="29" spans="1:25" x14ac:dyDescent="0.25">
      <c r="A29" s="97"/>
      <c r="B29" s="99"/>
      <c r="C29" s="99"/>
      <c r="D29" s="97"/>
      <c r="E29" s="97"/>
      <c r="F29" s="97"/>
      <c r="G29" s="97"/>
      <c r="H29" s="97"/>
      <c r="I29" s="97"/>
      <c r="J29" s="97"/>
      <c r="K29" s="254">
        <f>F29+G29*(E29+1)+H29*E29+I29+J29</f>
        <v>0</v>
      </c>
      <c r="L29" s="36">
        <f>K29*B29*C29</f>
        <v>0</v>
      </c>
      <c r="N29" s="97"/>
      <c r="O29" s="99"/>
      <c r="P29" s="99"/>
      <c r="Q29" s="97"/>
      <c r="R29" s="97"/>
      <c r="S29" s="97"/>
      <c r="T29" s="97"/>
      <c r="U29" s="97"/>
      <c r="V29" s="97"/>
      <c r="W29" s="97"/>
      <c r="X29" s="254">
        <f>S29+T29*(R29+1)+U29*R29+V29+W29</f>
        <v>0</v>
      </c>
      <c r="Y29" s="36">
        <f>X29*O29*P29</f>
        <v>0</v>
      </c>
    </row>
    <row r="30" spans="1:25" ht="16.5" thickBot="1" x14ac:dyDescent="0.3">
      <c r="A30" s="470" t="s">
        <v>69</v>
      </c>
      <c r="B30" s="470"/>
      <c r="C30" s="470"/>
      <c r="D30" s="470"/>
      <c r="E30" s="470"/>
      <c r="F30" s="470"/>
      <c r="G30" s="470"/>
      <c r="H30" s="470"/>
      <c r="I30" s="470"/>
      <c r="J30" s="470"/>
      <c r="K30" s="470"/>
      <c r="L30" s="86">
        <f>SUM(L25:L29)</f>
        <v>0</v>
      </c>
      <c r="N30" s="470" t="s">
        <v>74</v>
      </c>
      <c r="O30" s="470"/>
      <c r="P30" s="470"/>
      <c r="Q30" s="470"/>
      <c r="R30" s="470"/>
      <c r="S30" s="470"/>
      <c r="T30" s="470"/>
      <c r="U30" s="470"/>
      <c r="V30" s="470"/>
      <c r="W30" s="470"/>
      <c r="X30" s="470"/>
      <c r="Y30" s="86">
        <f>SUM(Y25:Y29)</f>
        <v>0</v>
      </c>
    </row>
    <row r="31" spans="1:25" ht="16.5" thickTop="1" x14ac:dyDescent="0.25">
      <c r="O31" s="94"/>
      <c r="P31" s="94"/>
    </row>
    <row r="32" spans="1:25" x14ac:dyDescent="0.25">
      <c r="O32" s="94"/>
      <c r="P32" s="94"/>
    </row>
    <row r="33" spans="1:25" x14ac:dyDescent="0.25">
      <c r="A33" s="32" t="s">
        <v>62</v>
      </c>
      <c r="B33" s="96"/>
      <c r="C33" s="96"/>
      <c r="D33" s="33"/>
      <c r="E33" s="33"/>
      <c r="F33" s="33"/>
      <c r="G33" s="33"/>
      <c r="H33" s="33"/>
      <c r="I33" s="33"/>
      <c r="J33" s="33"/>
      <c r="K33" s="33"/>
      <c r="L33" s="34"/>
      <c r="N33" s="32" t="s">
        <v>62</v>
      </c>
      <c r="O33" s="96"/>
      <c r="P33" s="96"/>
      <c r="Q33" s="33"/>
      <c r="R33" s="33"/>
      <c r="S33" s="33"/>
      <c r="T33" s="33"/>
      <c r="U33" s="33"/>
      <c r="V33" s="33"/>
      <c r="W33" s="33"/>
      <c r="X33" s="33"/>
      <c r="Y33" s="34"/>
    </row>
    <row r="34" spans="1:25" s="81" customFormat="1" ht="31.5" x14ac:dyDescent="0.25">
      <c r="A34" s="87" t="s">
        <v>79</v>
      </c>
      <c r="B34" s="88" t="s">
        <v>19</v>
      </c>
      <c r="C34" s="88" t="s">
        <v>20</v>
      </c>
      <c r="D34" s="88" t="s">
        <v>93</v>
      </c>
      <c r="E34" s="88" t="s">
        <v>101</v>
      </c>
      <c r="F34" s="88" t="s">
        <v>21</v>
      </c>
      <c r="G34" s="88" t="s">
        <v>22</v>
      </c>
      <c r="H34" s="88" t="s">
        <v>104</v>
      </c>
      <c r="I34" s="88" t="s">
        <v>55</v>
      </c>
      <c r="J34" s="88" t="s">
        <v>199</v>
      </c>
      <c r="K34" s="88" t="s">
        <v>23</v>
      </c>
      <c r="L34" s="88" t="s">
        <v>10</v>
      </c>
      <c r="N34" s="87" t="s">
        <v>79</v>
      </c>
      <c r="O34" s="88" t="s">
        <v>19</v>
      </c>
      <c r="P34" s="88" t="s">
        <v>20</v>
      </c>
      <c r="Q34" s="88" t="s">
        <v>93</v>
      </c>
      <c r="R34" s="88" t="s">
        <v>101</v>
      </c>
      <c r="S34" s="88" t="s">
        <v>21</v>
      </c>
      <c r="T34" s="88" t="s">
        <v>22</v>
      </c>
      <c r="U34" s="88" t="s">
        <v>104</v>
      </c>
      <c r="V34" s="88" t="s">
        <v>55</v>
      </c>
      <c r="W34" s="88" t="s">
        <v>199</v>
      </c>
      <c r="X34" s="88" t="s">
        <v>94</v>
      </c>
      <c r="Y34" s="88" t="s">
        <v>10</v>
      </c>
    </row>
    <row r="35" spans="1:25" x14ac:dyDescent="0.25">
      <c r="A35" s="98"/>
      <c r="B35" s="99"/>
      <c r="C35" s="99"/>
      <c r="D35" s="97"/>
      <c r="E35" s="97"/>
      <c r="F35" s="97"/>
      <c r="G35" s="97"/>
      <c r="H35" s="97"/>
      <c r="I35" s="97"/>
      <c r="J35" s="97"/>
      <c r="K35" s="254">
        <f>F35+G35*(E35+1)+H35*E35+I35+J35</f>
        <v>0</v>
      </c>
      <c r="L35" s="36">
        <f>K35*B35*C35</f>
        <v>0</v>
      </c>
      <c r="N35" s="35"/>
      <c r="O35" s="99"/>
      <c r="P35" s="99"/>
      <c r="Q35" s="97"/>
      <c r="R35" s="97"/>
      <c r="S35" s="97"/>
      <c r="T35" s="97"/>
      <c r="U35" s="97"/>
      <c r="V35" s="97"/>
      <c r="W35" s="97"/>
      <c r="X35" s="254">
        <f>S35+T35*(R35+1)+U35*R35+V35+W35</f>
        <v>0</v>
      </c>
      <c r="Y35" s="36">
        <f>X35*O35*P35</f>
        <v>0</v>
      </c>
    </row>
    <row r="36" spans="1:25" x14ac:dyDescent="0.25">
      <c r="A36" s="35"/>
      <c r="B36" s="95"/>
      <c r="C36" s="95"/>
      <c r="D36" s="35"/>
      <c r="E36" s="35"/>
      <c r="F36" s="35"/>
      <c r="G36" s="35"/>
      <c r="H36" s="35"/>
      <c r="I36" s="35"/>
      <c r="J36" s="35"/>
      <c r="K36" s="254">
        <f>F36+G36*(E36+1)+H36*E36+I36+J36</f>
        <v>0</v>
      </c>
      <c r="L36" s="36">
        <f>K36*B36*C36</f>
        <v>0</v>
      </c>
      <c r="N36" s="35"/>
      <c r="O36" s="95"/>
      <c r="P36" s="95"/>
      <c r="Q36" s="35"/>
      <c r="R36" s="35"/>
      <c r="S36" s="35"/>
      <c r="T36" s="35"/>
      <c r="U36" s="35"/>
      <c r="V36" s="35"/>
      <c r="W36" s="35"/>
      <c r="X36" s="254">
        <f>S36+T36*(R36+1)+U36*R36+V36+W36</f>
        <v>0</v>
      </c>
      <c r="Y36" s="36">
        <f>X36*O36*P36</f>
        <v>0</v>
      </c>
    </row>
    <row r="37" spans="1:25" x14ac:dyDescent="0.25">
      <c r="A37" s="35"/>
      <c r="B37" s="95"/>
      <c r="C37" s="95"/>
      <c r="D37" s="35"/>
      <c r="E37" s="35"/>
      <c r="F37" s="35"/>
      <c r="G37" s="35"/>
      <c r="H37" s="35"/>
      <c r="I37" s="35"/>
      <c r="J37" s="35"/>
      <c r="K37" s="254">
        <f>F37+G37*(E37+1)+H37*E37+I37+J37</f>
        <v>0</v>
      </c>
      <c r="L37" s="36">
        <f>K37*B37*C37</f>
        <v>0</v>
      </c>
      <c r="N37" s="35"/>
      <c r="O37" s="95"/>
      <c r="P37" s="95"/>
      <c r="Q37" s="35"/>
      <c r="R37" s="35"/>
      <c r="S37" s="35"/>
      <c r="T37" s="35"/>
      <c r="U37" s="35"/>
      <c r="V37" s="35"/>
      <c r="W37" s="35"/>
      <c r="X37" s="254">
        <f>S37+T37*(R37+1)+U37*R37+V37+W37</f>
        <v>0</v>
      </c>
      <c r="Y37" s="36">
        <f>X37*O37*P37</f>
        <v>0</v>
      </c>
    </row>
    <row r="38" spans="1:25" x14ac:dyDescent="0.25">
      <c r="A38" s="35"/>
      <c r="B38" s="95"/>
      <c r="C38" s="95"/>
      <c r="D38" s="35"/>
      <c r="E38" s="35"/>
      <c r="F38" s="35"/>
      <c r="G38" s="35"/>
      <c r="H38" s="35"/>
      <c r="I38" s="35"/>
      <c r="J38" s="35"/>
      <c r="K38" s="254">
        <f>F38+G38*(E38+1)+H38*E38+I38+J38</f>
        <v>0</v>
      </c>
      <c r="L38" s="36">
        <f>K38*B38*C38</f>
        <v>0</v>
      </c>
      <c r="N38" s="35"/>
      <c r="O38" s="95"/>
      <c r="P38" s="95"/>
      <c r="Q38" s="35"/>
      <c r="R38" s="35"/>
      <c r="S38" s="35"/>
      <c r="T38" s="35"/>
      <c r="U38" s="35"/>
      <c r="V38" s="35"/>
      <c r="W38" s="35"/>
      <c r="X38" s="254">
        <f>S38+T38*(R38+1)+U38*R38+V38+W38</f>
        <v>0</v>
      </c>
      <c r="Y38" s="36">
        <f>X38*O38*P38</f>
        <v>0</v>
      </c>
    </row>
    <row r="39" spans="1:25" x14ac:dyDescent="0.25">
      <c r="A39" s="35"/>
      <c r="B39" s="95"/>
      <c r="C39" s="95"/>
      <c r="D39" s="35"/>
      <c r="E39" s="35"/>
      <c r="F39" s="35"/>
      <c r="G39" s="35"/>
      <c r="H39" s="35"/>
      <c r="I39" s="35"/>
      <c r="J39" s="35"/>
      <c r="K39" s="254">
        <f>F39+G39*(E39+1)+H39*E39+I39+J39</f>
        <v>0</v>
      </c>
      <c r="L39" s="36">
        <f>K39*B39*C39</f>
        <v>0</v>
      </c>
      <c r="N39" s="35"/>
      <c r="O39" s="95"/>
      <c r="P39" s="95"/>
      <c r="Q39" s="35"/>
      <c r="R39" s="35"/>
      <c r="S39" s="35"/>
      <c r="T39" s="35"/>
      <c r="U39" s="35"/>
      <c r="V39" s="35"/>
      <c r="W39" s="35"/>
      <c r="X39" s="254">
        <f>S39+T39*(R39+1)+U39*R39+V39+W39</f>
        <v>0</v>
      </c>
      <c r="Y39" s="36">
        <f>X39*O39*P39</f>
        <v>0</v>
      </c>
    </row>
    <row r="40" spans="1:25" ht="16.5" thickBot="1" x14ac:dyDescent="0.3">
      <c r="A40" s="470" t="s">
        <v>70</v>
      </c>
      <c r="B40" s="470"/>
      <c r="C40" s="470"/>
      <c r="D40" s="470"/>
      <c r="E40" s="470"/>
      <c r="F40" s="470"/>
      <c r="G40" s="470"/>
      <c r="H40" s="470"/>
      <c r="I40" s="470"/>
      <c r="J40" s="470"/>
      <c r="K40" s="470"/>
      <c r="L40" s="86">
        <f>SUM(L35:L39)</f>
        <v>0</v>
      </c>
      <c r="N40" s="470" t="s">
        <v>75</v>
      </c>
      <c r="O40" s="470"/>
      <c r="P40" s="470"/>
      <c r="Q40" s="470"/>
      <c r="R40" s="470"/>
      <c r="S40" s="470"/>
      <c r="T40" s="470"/>
      <c r="U40" s="470"/>
      <c r="V40" s="470"/>
      <c r="W40" s="470"/>
      <c r="X40" s="470"/>
      <c r="Y40" s="86">
        <f>SUM(Y35:Y39)</f>
        <v>0</v>
      </c>
    </row>
    <row r="41" spans="1:25" ht="16.5" thickTop="1" x14ac:dyDescent="0.25">
      <c r="O41" s="94"/>
      <c r="P41" s="94"/>
    </row>
    <row r="42" spans="1:25" x14ac:dyDescent="0.25">
      <c r="O42" s="94"/>
      <c r="P42" s="94"/>
    </row>
    <row r="43" spans="1:25" x14ac:dyDescent="0.25">
      <c r="A43" s="32" t="s">
        <v>63</v>
      </c>
      <c r="B43" s="96"/>
      <c r="C43" s="96"/>
      <c r="D43" s="33"/>
      <c r="E43" s="33"/>
      <c r="F43" s="33"/>
      <c r="G43" s="33"/>
      <c r="H43" s="33"/>
      <c r="I43" s="33"/>
      <c r="J43" s="33"/>
      <c r="K43" s="33"/>
      <c r="L43" s="34"/>
      <c r="N43" s="32" t="s">
        <v>63</v>
      </c>
      <c r="O43" s="96"/>
      <c r="P43" s="96"/>
      <c r="Q43" s="33"/>
      <c r="R43" s="33"/>
      <c r="S43" s="33"/>
      <c r="T43" s="33"/>
      <c r="U43" s="33"/>
      <c r="V43" s="33"/>
      <c r="W43" s="33"/>
      <c r="X43" s="33"/>
      <c r="Y43" s="34"/>
    </row>
    <row r="44" spans="1:25" s="81" customFormat="1" ht="31.5" x14ac:dyDescent="0.25">
      <c r="A44" s="87" t="s">
        <v>79</v>
      </c>
      <c r="B44" s="88" t="s">
        <v>19</v>
      </c>
      <c r="C44" s="88" t="s">
        <v>20</v>
      </c>
      <c r="D44" s="88" t="s">
        <v>93</v>
      </c>
      <c r="E44" s="88" t="s">
        <v>101</v>
      </c>
      <c r="F44" s="88" t="s">
        <v>21</v>
      </c>
      <c r="G44" s="88" t="s">
        <v>22</v>
      </c>
      <c r="H44" s="88" t="s">
        <v>104</v>
      </c>
      <c r="I44" s="88" t="s">
        <v>55</v>
      </c>
      <c r="J44" s="88" t="s">
        <v>199</v>
      </c>
      <c r="K44" s="88" t="s">
        <v>23</v>
      </c>
      <c r="L44" s="88" t="s">
        <v>10</v>
      </c>
      <c r="N44" s="87" t="s">
        <v>79</v>
      </c>
      <c r="O44" s="88" t="s">
        <v>19</v>
      </c>
      <c r="P44" s="88" t="s">
        <v>20</v>
      </c>
      <c r="Q44" s="88" t="s">
        <v>93</v>
      </c>
      <c r="R44" s="88" t="s">
        <v>101</v>
      </c>
      <c r="S44" s="88" t="s">
        <v>21</v>
      </c>
      <c r="T44" s="88" t="s">
        <v>22</v>
      </c>
      <c r="U44" s="88" t="s">
        <v>104</v>
      </c>
      <c r="V44" s="88" t="s">
        <v>55</v>
      </c>
      <c r="W44" s="88" t="s">
        <v>199</v>
      </c>
      <c r="X44" s="88" t="s">
        <v>94</v>
      </c>
      <c r="Y44" s="88" t="s">
        <v>10</v>
      </c>
    </row>
    <row r="45" spans="1:25" x14ac:dyDescent="0.25">
      <c r="A45" s="98"/>
      <c r="B45" s="99"/>
      <c r="C45" s="99"/>
      <c r="D45" s="97"/>
      <c r="E45" s="97"/>
      <c r="F45" s="97"/>
      <c r="G45" s="97"/>
      <c r="H45" s="97"/>
      <c r="I45" s="97"/>
      <c r="J45" s="97"/>
      <c r="K45" s="254">
        <f>F45+G45*(E45+1)+H45*E45+I45+J45</f>
        <v>0</v>
      </c>
      <c r="L45" s="36">
        <f>K45*B45*C45</f>
        <v>0</v>
      </c>
      <c r="N45" s="35"/>
      <c r="O45" s="99"/>
      <c r="P45" s="99"/>
      <c r="Q45" s="97"/>
      <c r="R45" s="97"/>
      <c r="S45" s="97"/>
      <c r="T45" s="97"/>
      <c r="U45" s="97"/>
      <c r="V45" s="97"/>
      <c r="W45" s="97"/>
      <c r="X45" s="254">
        <f>S45+T45*(R45+1)+U45*R45+V45+W45</f>
        <v>0</v>
      </c>
      <c r="Y45" s="36">
        <f>X45*O45*P45</f>
        <v>0</v>
      </c>
    </row>
    <row r="46" spans="1:25" x14ac:dyDescent="0.25">
      <c r="A46" s="35"/>
      <c r="B46" s="95"/>
      <c r="C46" s="95"/>
      <c r="D46" s="35"/>
      <c r="E46" s="35"/>
      <c r="F46" s="35"/>
      <c r="G46" s="35"/>
      <c r="H46" s="35"/>
      <c r="I46" s="35"/>
      <c r="J46" s="35"/>
      <c r="K46" s="254">
        <f>F46+G46*(E46+1)+H46*E46+I46+J46</f>
        <v>0</v>
      </c>
      <c r="L46" s="36">
        <f>K46*B46*C46</f>
        <v>0</v>
      </c>
      <c r="N46" s="35"/>
      <c r="O46" s="95"/>
      <c r="P46" s="95"/>
      <c r="Q46" s="35"/>
      <c r="R46" s="35"/>
      <c r="S46" s="35"/>
      <c r="T46" s="35"/>
      <c r="U46" s="35"/>
      <c r="V46" s="35"/>
      <c r="W46" s="35"/>
      <c r="X46" s="254">
        <f>S46+T46*(R46+1)+U46*R46+V46+W46</f>
        <v>0</v>
      </c>
      <c r="Y46" s="36">
        <f>X46*O46*P46</f>
        <v>0</v>
      </c>
    </row>
    <row r="47" spans="1:25" x14ac:dyDescent="0.25">
      <c r="A47" s="35"/>
      <c r="B47" s="95"/>
      <c r="C47" s="95"/>
      <c r="D47" s="35"/>
      <c r="E47" s="35"/>
      <c r="F47" s="35"/>
      <c r="G47" s="35"/>
      <c r="H47" s="35"/>
      <c r="I47" s="35"/>
      <c r="J47" s="35"/>
      <c r="K47" s="254">
        <f>F47+G47*(E47+1)+H47*E47+I47+J47</f>
        <v>0</v>
      </c>
      <c r="L47" s="36">
        <f>K47*B47*C47</f>
        <v>0</v>
      </c>
      <c r="N47" s="35"/>
      <c r="O47" s="95"/>
      <c r="P47" s="95"/>
      <c r="Q47" s="35"/>
      <c r="R47" s="35"/>
      <c r="S47" s="35"/>
      <c r="T47" s="35"/>
      <c r="U47" s="35"/>
      <c r="V47" s="35"/>
      <c r="W47" s="35"/>
      <c r="X47" s="254">
        <f>S47+T47*(R47+1)+U47*R47+V47+W47</f>
        <v>0</v>
      </c>
      <c r="Y47" s="36">
        <f>X47*O47*P47</f>
        <v>0</v>
      </c>
    </row>
    <row r="48" spans="1:25" x14ac:dyDescent="0.25">
      <c r="A48" s="35"/>
      <c r="B48" s="95"/>
      <c r="C48" s="95"/>
      <c r="D48" s="35"/>
      <c r="E48" s="35"/>
      <c r="F48" s="35"/>
      <c r="G48" s="35"/>
      <c r="H48" s="35"/>
      <c r="I48" s="35"/>
      <c r="J48" s="35"/>
      <c r="K48" s="254">
        <f>F48+G48*(E48+1)+H48*E48+I48+J48</f>
        <v>0</v>
      </c>
      <c r="L48" s="36">
        <f>K48*B48*C48</f>
        <v>0</v>
      </c>
      <c r="N48" s="35"/>
      <c r="O48" s="95"/>
      <c r="P48" s="95"/>
      <c r="Q48" s="35"/>
      <c r="R48" s="35"/>
      <c r="S48" s="35"/>
      <c r="T48" s="35"/>
      <c r="U48" s="35"/>
      <c r="V48" s="35"/>
      <c r="W48" s="35"/>
      <c r="X48" s="254">
        <f>S48+T48*(R48+1)+U48*R48+V48+W48</f>
        <v>0</v>
      </c>
      <c r="Y48" s="36">
        <f>X48*O48*P48</f>
        <v>0</v>
      </c>
    </row>
    <row r="49" spans="1:25" x14ac:dyDescent="0.25">
      <c r="A49" s="35"/>
      <c r="B49" s="95"/>
      <c r="C49" s="95"/>
      <c r="D49" s="35"/>
      <c r="E49" s="35"/>
      <c r="F49" s="35"/>
      <c r="G49" s="35"/>
      <c r="H49" s="35"/>
      <c r="I49" s="35"/>
      <c r="J49" s="35"/>
      <c r="K49" s="254">
        <f>F49+G49*(E49+1)+H49*E49+I49+J49</f>
        <v>0</v>
      </c>
      <c r="L49" s="36">
        <f>K49*B49*C49</f>
        <v>0</v>
      </c>
      <c r="N49" s="35"/>
      <c r="O49" s="95"/>
      <c r="P49" s="95"/>
      <c r="Q49" s="35"/>
      <c r="R49" s="35"/>
      <c r="S49" s="35"/>
      <c r="T49" s="35"/>
      <c r="U49" s="35"/>
      <c r="V49" s="35"/>
      <c r="W49" s="35"/>
      <c r="X49" s="254">
        <f>S49+T49*(R49+1)+U49*R49+V49+W49</f>
        <v>0</v>
      </c>
      <c r="Y49" s="36">
        <f>X49*O49*P49</f>
        <v>0</v>
      </c>
    </row>
    <row r="50" spans="1:25" ht="16.5" thickBot="1" x14ac:dyDescent="0.3">
      <c r="A50" s="470" t="s">
        <v>71</v>
      </c>
      <c r="B50" s="470"/>
      <c r="C50" s="470"/>
      <c r="D50" s="470"/>
      <c r="E50" s="470"/>
      <c r="F50" s="470"/>
      <c r="G50" s="470"/>
      <c r="H50" s="470"/>
      <c r="I50" s="470"/>
      <c r="J50" s="470"/>
      <c r="K50" s="470"/>
      <c r="L50" s="86">
        <f>SUM(L45:L49)</f>
        <v>0</v>
      </c>
      <c r="N50" s="470" t="s">
        <v>76</v>
      </c>
      <c r="O50" s="470"/>
      <c r="P50" s="470"/>
      <c r="Q50" s="470"/>
      <c r="R50" s="470"/>
      <c r="S50" s="470"/>
      <c r="T50" s="470"/>
      <c r="U50" s="470"/>
      <c r="V50" s="470"/>
      <c r="W50" s="470"/>
      <c r="X50" s="470"/>
      <c r="Y50" s="86">
        <f>SUM(Y45:Y49)</f>
        <v>0</v>
      </c>
    </row>
    <row r="51" spans="1:25" ht="16.5" thickTop="1" x14ac:dyDescent="0.25">
      <c r="O51" s="94"/>
      <c r="P51" s="94"/>
    </row>
    <row r="52" spans="1:25" x14ac:dyDescent="0.25">
      <c r="K52" s="255" t="s">
        <v>27</v>
      </c>
      <c r="L52" s="37">
        <f>L10+L20+L30+L40+L50</f>
        <v>0</v>
      </c>
      <c r="O52" s="94"/>
      <c r="P52" s="94"/>
      <c r="X52" s="255" t="s">
        <v>27</v>
      </c>
      <c r="Y52" s="37">
        <f>Y10+Y20+Y30+Y40+Y50</f>
        <v>0</v>
      </c>
    </row>
  </sheetData>
  <mergeCells count="10">
    <mergeCell ref="A10:K10"/>
    <mergeCell ref="A20:K20"/>
    <mergeCell ref="A30:K30"/>
    <mergeCell ref="A40:K40"/>
    <mergeCell ref="A50:K50"/>
    <mergeCell ref="N10:X10"/>
    <mergeCell ref="N20:X20"/>
    <mergeCell ref="N30:X30"/>
    <mergeCell ref="N40:X40"/>
    <mergeCell ref="N50:X50"/>
  </mergeCell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7"/>
  <sheetViews>
    <sheetView zoomScale="80" zoomScaleNormal="80" workbookViewId="0"/>
  </sheetViews>
  <sheetFormatPr defaultColWidth="8.7109375" defaultRowHeight="12.75" x14ac:dyDescent="0.2"/>
  <cols>
    <col min="1" max="1" width="25.7109375" style="127" customWidth="1"/>
    <col min="2" max="2" width="40.7109375" style="127" customWidth="1"/>
    <col min="3" max="3" width="12.7109375" style="127" customWidth="1"/>
    <col min="4" max="5" width="15.7109375" style="127" customWidth="1"/>
    <col min="6" max="16384" width="8.7109375" style="127"/>
  </cols>
  <sheetData>
    <row r="1" spans="1:5" ht="18.75" x14ac:dyDescent="0.3">
      <c r="A1" s="46" t="s">
        <v>44</v>
      </c>
    </row>
    <row r="2" spans="1:5" ht="15.75" customHeight="1" x14ac:dyDescent="0.2"/>
    <row r="3" spans="1:5" ht="15.75" x14ac:dyDescent="0.25">
      <c r="A3" s="471" t="s">
        <v>36</v>
      </c>
      <c r="B3" s="472"/>
      <c r="C3" s="472"/>
      <c r="D3" s="472"/>
      <c r="E3" s="473"/>
    </row>
    <row r="4" spans="1:5" ht="15.75" x14ac:dyDescent="0.2">
      <c r="A4" s="82" t="s">
        <v>112</v>
      </c>
      <c r="B4" s="82" t="s">
        <v>113</v>
      </c>
      <c r="C4" s="82" t="s">
        <v>24</v>
      </c>
      <c r="D4" s="82" t="s">
        <v>25</v>
      </c>
      <c r="E4" s="128" t="s">
        <v>10</v>
      </c>
    </row>
    <row r="5" spans="1:5" ht="15.75" x14ac:dyDescent="0.25">
      <c r="A5" s="129"/>
      <c r="B5" s="129" t="s">
        <v>136</v>
      </c>
      <c r="C5" s="130"/>
      <c r="D5" s="131"/>
      <c r="E5" s="132">
        <f t="shared" ref="E5:E14" si="0">C5*D5</f>
        <v>0</v>
      </c>
    </row>
    <row r="6" spans="1:5" ht="15.75" x14ac:dyDescent="0.25">
      <c r="A6" s="129"/>
      <c r="B6" s="129" t="s">
        <v>137</v>
      </c>
      <c r="C6" s="130"/>
      <c r="D6" s="131"/>
      <c r="E6" s="132">
        <f t="shared" si="0"/>
        <v>0</v>
      </c>
    </row>
    <row r="7" spans="1:5" ht="15.75" x14ac:dyDescent="0.25">
      <c r="A7" s="129"/>
      <c r="B7" s="129" t="s">
        <v>11</v>
      </c>
      <c r="C7" s="130"/>
      <c r="D7" s="131"/>
      <c r="E7" s="132">
        <f t="shared" si="0"/>
        <v>0</v>
      </c>
    </row>
    <row r="8" spans="1:5" ht="15.75" x14ac:dyDescent="0.25">
      <c r="A8" s="129"/>
      <c r="B8" s="129" t="s">
        <v>138</v>
      </c>
      <c r="C8" s="130"/>
      <c r="D8" s="131"/>
      <c r="E8" s="133">
        <f t="shared" si="0"/>
        <v>0</v>
      </c>
    </row>
    <row r="9" spans="1:5" ht="15.75" x14ac:dyDescent="0.25">
      <c r="A9" s="98"/>
      <c r="B9" s="129" t="s">
        <v>139</v>
      </c>
      <c r="C9" s="130"/>
      <c r="D9" s="131"/>
      <c r="E9" s="133">
        <f t="shared" si="0"/>
        <v>0</v>
      </c>
    </row>
    <row r="10" spans="1:5" ht="15.75" x14ac:dyDescent="0.2">
      <c r="A10" s="98"/>
      <c r="B10" s="98"/>
      <c r="C10" s="134"/>
      <c r="D10" s="135"/>
      <c r="E10" s="133">
        <f t="shared" si="0"/>
        <v>0</v>
      </c>
    </row>
    <row r="11" spans="1:5" ht="15.75" x14ac:dyDescent="0.2">
      <c r="A11" s="98"/>
      <c r="B11" s="98"/>
      <c r="C11" s="134"/>
      <c r="D11" s="135"/>
      <c r="E11" s="133">
        <f t="shared" si="0"/>
        <v>0</v>
      </c>
    </row>
    <row r="12" spans="1:5" ht="15.75" x14ac:dyDescent="0.2">
      <c r="A12" s="98"/>
      <c r="B12" s="98"/>
      <c r="C12" s="134"/>
      <c r="D12" s="135"/>
      <c r="E12" s="133">
        <f t="shared" si="0"/>
        <v>0</v>
      </c>
    </row>
    <row r="13" spans="1:5" ht="15.75" x14ac:dyDescent="0.2">
      <c r="A13" s="98"/>
      <c r="B13" s="98"/>
      <c r="C13" s="134"/>
      <c r="D13" s="135"/>
      <c r="E13" s="133">
        <f t="shared" si="0"/>
        <v>0</v>
      </c>
    </row>
    <row r="14" spans="1:5" ht="15.75" x14ac:dyDescent="0.2">
      <c r="A14" s="98"/>
      <c r="B14" s="98"/>
      <c r="C14" s="134"/>
      <c r="D14" s="135"/>
      <c r="E14" s="133">
        <f t="shared" si="0"/>
        <v>0</v>
      </c>
    </row>
    <row r="15" spans="1:5" ht="16.5" thickBot="1" x14ac:dyDescent="0.3">
      <c r="A15" s="470" t="s">
        <v>114</v>
      </c>
      <c r="B15" s="470"/>
      <c r="C15" s="470"/>
      <c r="D15" s="470"/>
      <c r="E15" s="136">
        <f>SUM(E5:E14)</f>
        <v>0</v>
      </c>
    </row>
    <row r="16" spans="1:5" ht="16.5" thickTop="1" x14ac:dyDescent="0.25">
      <c r="A16" s="12"/>
      <c r="B16" s="12"/>
      <c r="C16" s="94"/>
      <c r="D16" s="12"/>
      <c r="E16" s="12"/>
    </row>
    <row r="17" spans="1:5" ht="15.75" x14ac:dyDescent="0.25">
      <c r="A17" s="12"/>
      <c r="B17" s="12"/>
      <c r="C17" s="94"/>
      <c r="D17" s="12"/>
      <c r="E17" s="12"/>
    </row>
    <row r="18" spans="1:5" ht="15.75" x14ac:dyDescent="0.25">
      <c r="A18" s="32" t="s">
        <v>60</v>
      </c>
      <c r="B18" s="33"/>
      <c r="C18" s="96"/>
      <c r="D18" s="33"/>
      <c r="E18" s="34"/>
    </row>
    <row r="19" spans="1:5" ht="15.75" x14ac:dyDescent="0.25">
      <c r="A19" s="82" t="s">
        <v>112</v>
      </c>
      <c r="B19" s="82" t="s">
        <v>113</v>
      </c>
      <c r="C19" s="82" t="s">
        <v>24</v>
      </c>
      <c r="D19" s="82" t="s">
        <v>25</v>
      </c>
      <c r="E19" s="83" t="s">
        <v>10</v>
      </c>
    </row>
    <row r="20" spans="1:5" ht="15.75" x14ac:dyDescent="0.25">
      <c r="A20" s="129"/>
      <c r="B20" s="129" t="s">
        <v>136</v>
      </c>
      <c r="C20" s="130"/>
      <c r="D20" s="131"/>
      <c r="E20" s="132">
        <f t="shared" ref="E20:E29" si="1">C20*D20</f>
        <v>0</v>
      </c>
    </row>
    <row r="21" spans="1:5" ht="15.75" x14ac:dyDescent="0.25">
      <c r="A21" s="129"/>
      <c r="B21" s="129" t="s">
        <v>137</v>
      </c>
      <c r="C21" s="130"/>
      <c r="D21" s="131"/>
      <c r="E21" s="132">
        <f t="shared" si="1"/>
        <v>0</v>
      </c>
    </row>
    <row r="22" spans="1:5" ht="15.75" x14ac:dyDescent="0.25">
      <c r="A22" s="129"/>
      <c r="B22" s="129" t="s">
        <v>11</v>
      </c>
      <c r="C22" s="130"/>
      <c r="D22" s="131"/>
      <c r="E22" s="132">
        <f t="shared" si="1"/>
        <v>0</v>
      </c>
    </row>
    <row r="23" spans="1:5" ht="15.75" x14ac:dyDescent="0.25">
      <c r="A23" s="129"/>
      <c r="B23" s="129" t="s">
        <v>138</v>
      </c>
      <c r="C23" s="130"/>
      <c r="D23" s="131"/>
      <c r="E23" s="132">
        <f t="shared" si="1"/>
        <v>0</v>
      </c>
    </row>
    <row r="24" spans="1:5" ht="15.75" x14ac:dyDescent="0.25">
      <c r="A24" s="98"/>
      <c r="B24" s="129" t="s">
        <v>139</v>
      </c>
      <c r="C24" s="130"/>
      <c r="D24" s="131"/>
      <c r="E24" s="132">
        <f t="shared" si="1"/>
        <v>0</v>
      </c>
    </row>
    <row r="25" spans="1:5" ht="15.75" x14ac:dyDescent="0.25">
      <c r="A25" s="97"/>
      <c r="B25" s="98"/>
      <c r="C25" s="99"/>
      <c r="D25" s="137"/>
      <c r="E25" s="132">
        <f t="shared" si="1"/>
        <v>0</v>
      </c>
    </row>
    <row r="26" spans="1:5" ht="15.75" x14ac:dyDescent="0.25">
      <c r="A26" s="97"/>
      <c r="B26" s="97"/>
      <c r="C26" s="99"/>
      <c r="D26" s="137"/>
      <c r="E26" s="132">
        <f t="shared" si="1"/>
        <v>0</v>
      </c>
    </row>
    <row r="27" spans="1:5" ht="15.75" x14ac:dyDescent="0.25">
      <c r="A27" s="97"/>
      <c r="B27" s="97"/>
      <c r="C27" s="99"/>
      <c r="D27" s="137"/>
      <c r="E27" s="132">
        <f t="shared" si="1"/>
        <v>0</v>
      </c>
    </row>
    <row r="28" spans="1:5" ht="15.75" x14ac:dyDescent="0.25">
      <c r="A28" s="97"/>
      <c r="B28" s="97"/>
      <c r="C28" s="99"/>
      <c r="D28" s="137"/>
      <c r="E28" s="132">
        <f t="shared" si="1"/>
        <v>0</v>
      </c>
    </row>
    <row r="29" spans="1:5" ht="15.75" x14ac:dyDescent="0.25">
      <c r="A29" s="97"/>
      <c r="B29" s="97"/>
      <c r="C29" s="99"/>
      <c r="D29" s="137"/>
      <c r="E29" s="132">
        <f t="shared" si="1"/>
        <v>0</v>
      </c>
    </row>
    <row r="30" spans="1:5" ht="16.5" thickBot="1" x14ac:dyDescent="0.3">
      <c r="A30" s="470" t="s">
        <v>115</v>
      </c>
      <c r="B30" s="470"/>
      <c r="C30" s="470"/>
      <c r="D30" s="470"/>
      <c r="E30" s="138">
        <f>SUM(E20:E29)</f>
        <v>0</v>
      </c>
    </row>
    <row r="31" spans="1:5" ht="16.5" thickTop="1" x14ac:dyDescent="0.25">
      <c r="A31" s="12"/>
      <c r="B31" s="12"/>
      <c r="C31" s="94"/>
      <c r="D31" s="12"/>
      <c r="E31" s="12"/>
    </row>
    <row r="32" spans="1:5" ht="15.75" x14ac:dyDescent="0.25">
      <c r="A32" s="12"/>
      <c r="B32" s="12"/>
      <c r="C32" s="94"/>
      <c r="D32" s="12"/>
      <c r="E32" s="12"/>
    </row>
    <row r="33" spans="1:5" ht="15.75" x14ac:dyDescent="0.25">
      <c r="A33" s="32" t="s">
        <v>61</v>
      </c>
      <c r="B33" s="33"/>
      <c r="C33" s="96"/>
      <c r="D33" s="33"/>
      <c r="E33" s="34"/>
    </row>
    <row r="34" spans="1:5" ht="15.75" x14ac:dyDescent="0.25">
      <c r="A34" s="82" t="s">
        <v>112</v>
      </c>
      <c r="B34" s="82" t="s">
        <v>113</v>
      </c>
      <c r="C34" s="82" t="s">
        <v>24</v>
      </c>
      <c r="D34" s="82" t="s">
        <v>25</v>
      </c>
      <c r="E34" s="83" t="s">
        <v>10</v>
      </c>
    </row>
    <row r="35" spans="1:5" ht="15.75" x14ac:dyDescent="0.25">
      <c r="A35" s="129"/>
      <c r="B35" s="129" t="s">
        <v>136</v>
      </c>
      <c r="C35" s="130"/>
      <c r="D35" s="131"/>
      <c r="E35" s="132">
        <f t="shared" ref="E35:E44" si="2">C35*D35</f>
        <v>0</v>
      </c>
    </row>
    <row r="36" spans="1:5" ht="15.75" x14ac:dyDescent="0.25">
      <c r="A36" s="129"/>
      <c r="B36" s="129" t="s">
        <v>137</v>
      </c>
      <c r="C36" s="130"/>
      <c r="D36" s="131"/>
      <c r="E36" s="132">
        <f t="shared" si="2"/>
        <v>0</v>
      </c>
    </row>
    <row r="37" spans="1:5" ht="15.75" x14ac:dyDescent="0.25">
      <c r="A37" s="129"/>
      <c r="B37" s="129" t="s">
        <v>11</v>
      </c>
      <c r="C37" s="130"/>
      <c r="D37" s="131"/>
      <c r="E37" s="132">
        <f t="shared" si="2"/>
        <v>0</v>
      </c>
    </row>
    <row r="38" spans="1:5" ht="15.75" x14ac:dyDescent="0.25">
      <c r="A38" s="129"/>
      <c r="B38" s="129" t="s">
        <v>138</v>
      </c>
      <c r="C38" s="130"/>
      <c r="D38" s="131"/>
      <c r="E38" s="132">
        <f t="shared" si="2"/>
        <v>0</v>
      </c>
    </row>
    <row r="39" spans="1:5" ht="15.75" x14ac:dyDescent="0.25">
      <c r="A39" s="98"/>
      <c r="B39" s="129" t="s">
        <v>139</v>
      </c>
      <c r="C39" s="130"/>
      <c r="D39" s="131"/>
      <c r="E39" s="132">
        <f t="shared" si="2"/>
        <v>0</v>
      </c>
    </row>
    <row r="40" spans="1:5" ht="15.75" x14ac:dyDescent="0.25">
      <c r="A40" s="97"/>
      <c r="B40" s="98"/>
      <c r="C40" s="99"/>
      <c r="D40" s="137"/>
      <c r="E40" s="132">
        <f t="shared" si="2"/>
        <v>0</v>
      </c>
    </row>
    <row r="41" spans="1:5" ht="15.75" x14ac:dyDescent="0.25">
      <c r="A41" s="97"/>
      <c r="B41" s="97"/>
      <c r="C41" s="99"/>
      <c r="D41" s="137"/>
      <c r="E41" s="132">
        <f t="shared" si="2"/>
        <v>0</v>
      </c>
    </row>
    <row r="42" spans="1:5" ht="15.75" x14ac:dyDescent="0.25">
      <c r="A42" s="97"/>
      <c r="B42" s="97"/>
      <c r="C42" s="99"/>
      <c r="D42" s="137"/>
      <c r="E42" s="132">
        <f t="shared" si="2"/>
        <v>0</v>
      </c>
    </row>
    <row r="43" spans="1:5" ht="15.75" x14ac:dyDescent="0.25">
      <c r="A43" s="97"/>
      <c r="B43" s="97"/>
      <c r="C43" s="99"/>
      <c r="D43" s="137"/>
      <c r="E43" s="132">
        <f t="shared" si="2"/>
        <v>0</v>
      </c>
    </row>
    <row r="44" spans="1:5" ht="15.75" x14ac:dyDescent="0.25">
      <c r="A44" s="97"/>
      <c r="B44" s="97"/>
      <c r="C44" s="99"/>
      <c r="D44" s="137"/>
      <c r="E44" s="132">
        <f t="shared" si="2"/>
        <v>0</v>
      </c>
    </row>
    <row r="45" spans="1:5" ht="16.5" thickBot="1" x14ac:dyDescent="0.3">
      <c r="A45" s="470" t="s">
        <v>116</v>
      </c>
      <c r="B45" s="470"/>
      <c r="C45" s="470"/>
      <c r="D45" s="470"/>
      <c r="E45" s="138">
        <f>SUM(E35:E44)</f>
        <v>0</v>
      </c>
    </row>
    <row r="46" spans="1:5" ht="16.5" thickTop="1" x14ac:dyDescent="0.25">
      <c r="A46" s="12"/>
      <c r="B46" s="12"/>
      <c r="C46" s="94"/>
      <c r="D46" s="12"/>
      <c r="E46" s="12"/>
    </row>
    <row r="47" spans="1:5" ht="15.75" x14ac:dyDescent="0.25">
      <c r="A47" s="12"/>
      <c r="B47" s="12"/>
      <c r="C47" s="94"/>
      <c r="D47" s="12"/>
      <c r="E47" s="12"/>
    </row>
    <row r="48" spans="1:5" ht="15.75" x14ac:dyDescent="0.25">
      <c r="A48" s="32" t="s">
        <v>62</v>
      </c>
      <c r="B48" s="33"/>
      <c r="C48" s="96"/>
      <c r="D48" s="33"/>
      <c r="E48" s="34"/>
    </row>
    <row r="49" spans="1:5" ht="15.75" x14ac:dyDescent="0.25">
      <c r="A49" s="82" t="s">
        <v>112</v>
      </c>
      <c r="B49" s="82" t="s">
        <v>113</v>
      </c>
      <c r="C49" s="82" t="s">
        <v>24</v>
      </c>
      <c r="D49" s="82" t="s">
        <v>25</v>
      </c>
      <c r="E49" s="83" t="s">
        <v>10</v>
      </c>
    </row>
    <row r="50" spans="1:5" ht="15.75" x14ac:dyDescent="0.25">
      <c r="A50" s="129"/>
      <c r="B50" s="129" t="s">
        <v>136</v>
      </c>
      <c r="C50" s="130"/>
      <c r="D50" s="131"/>
      <c r="E50" s="132">
        <f t="shared" ref="E50:E59" si="3">C50*D50</f>
        <v>0</v>
      </c>
    </row>
    <row r="51" spans="1:5" ht="15.75" x14ac:dyDescent="0.25">
      <c r="A51" s="129"/>
      <c r="B51" s="129" t="s">
        <v>137</v>
      </c>
      <c r="C51" s="130"/>
      <c r="D51" s="131"/>
      <c r="E51" s="132">
        <f t="shared" si="3"/>
        <v>0</v>
      </c>
    </row>
    <row r="52" spans="1:5" ht="15.75" x14ac:dyDescent="0.25">
      <c r="A52" s="129"/>
      <c r="B52" s="129" t="s">
        <v>11</v>
      </c>
      <c r="C52" s="130"/>
      <c r="D52" s="131"/>
      <c r="E52" s="132">
        <f t="shared" si="3"/>
        <v>0</v>
      </c>
    </row>
    <row r="53" spans="1:5" ht="15.75" x14ac:dyDescent="0.25">
      <c r="A53" s="129"/>
      <c r="B53" s="129" t="s">
        <v>138</v>
      </c>
      <c r="C53" s="130"/>
      <c r="D53" s="131"/>
      <c r="E53" s="132">
        <f t="shared" si="3"/>
        <v>0</v>
      </c>
    </row>
    <row r="54" spans="1:5" ht="15.75" x14ac:dyDescent="0.25">
      <c r="A54" s="98"/>
      <c r="B54" s="129" t="s">
        <v>139</v>
      </c>
      <c r="C54" s="130"/>
      <c r="D54" s="131"/>
      <c r="E54" s="132">
        <f t="shared" si="3"/>
        <v>0</v>
      </c>
    </row>
    <row r="55" spans="1:5" ht="15.75" x14ac:dyDescent="0.25">
      <c r="A55" s="35"/>
      <c r="B55" s="35"/>
      <c r="C55" s="95"/>
      <c r="D55" s="139"/>
      <c r="E55" s="132">
        <f t="shared" si="3"/>
        <v>0</v>
      </c>
    </row>
    <row r="56" spans="1:5" ht="15.75" x14ac:dyDescent="0.25">
      <c r="A56" s="35"/>
      <c r="B56" s="35"/>
      <c r="C56" s="95"/>
      <c r="D56" s="139"/>
      <c r="E56" s="132">
        <f t="shared" si="3"/>
        <v>0</v>
      </c>
    </row>
    <row r="57" spans="1:5" ht="15.75" x14ac:dyDescent="0.25">
      <c r="A57" s="35"/>
      <c r="B57" s="35"/>
      <c r="C57" s="95"/>
      <c r="D57" s="139"/>
      <c r="E57" s="132">
        <f t="shared" si="3"/>
        <v>0</v>
      </c>
    </row>
    <row r="58" spans="1:5" ht="15.75" x14ac:dyDescent="0.25">
      <c r="A58" s="35"/>
      <c r="B58" s="35"/>
      <c r="C58" s="95"/>
      <c r="D58" s="139"/>
      <c r="E58" s="132">
        <f t="shared" si="3"/>
        <v>0</v>
      </c>
    </row>
    <row r="59" spans="1:5" ht="15.75" x14ac:dyDescent="0.25">
      <c r="A59" s="35"/>
      <c r="B59" s="35"/>
      <c r="C59" s="95"/>
      <c r="D59" s="139"/>
      <c r="E59" s="132">
        <f t="shared" si="3"/>
        <v>0</v>
      </c>
    </row>
    <row r="60" spans="1:5" ht="16.5" thickBot="1" x14ac:dyDescent="0.3">
      <c r="A60" s="474" t="s">
        <v>117</v>
      </c>
      <c r="B60" s="474"/>
      <c r="C60" s="474"/>
      <c r="D60" s="474"/>
      <c r="E60" s="138">
        <f>SUM(E50:E59)</f>
        <v>0</v>
      </c>
    </row>
    <row r="61" spans="1:5" ht="16.5" thickTop="1" x14ac:dyDescent="0.25">
      <c r="A61" s="12"/>
      <c r="B61" s="12"/>
      <c r="C61" s="94"/>
      <c r="D61" s="12"/>
      <c r="E61" s="12"/>
    </row>
    <row r="62" spans="1:5" ht="15.75" x14ac:dyDescent="0.25">
      <c r="A62" s="12"/>
      <c r="B62" s="12"/>
      <c r="C62" s="94"/>
      <c r="D62" s="12"/>
      <c r="E62" s="12"/>
    </row>
    <row r="63" spans="1:5" ht="15.75" x14ac:dyDescent="0.25">
      <c r="A63" s="32" t="s">
        <v>63</v>
      </c>
      <c r="B63" s="33"/>
      <c r="C63" s="96"/>
      <c r="D63" s="33"/>
      <c r="E63" s="34"/>
    </row>
    <row r="64" spans="1:5" ht="15.75" x14ac:dyDescent="0.25">
      <c r="A64" s="82" t="s">
        <v>112</v>
      </c>
      <c r="B64" s="82" t="s">
        <v>113</v>
      </c>
      <c r="C64" s="82" t="s">
        <v>24</v>
      </c>
      <c r="D64" s="82" t="s">
        <v>25</v>
      </c>
      <c r="E64" s="83" t="s">
        <v>10</v>
      </c>
    </row>
    <row r="65" spans="1:5" ht="15.75" x14ac:dyDescent="0.25">
      <c r="A65" s="129"/>
      <c r="B65" s="129" t="s">
        <v>136</v>
      </c>
      <c r="C65" s="130"/>
      <c r="D65" s="131"/>
      <c r="E65" s="132">
        <f t="shared" ref="E65:E74" si="4">C65*D65</f>
        <v>0</v>
      </c>
    </row>
    <row r="66" spans="1:5" ht="15.75" x14ac:dyDescent="0.25">
      <c r="A66" s="129"/>
      <c r="B66" s="129" t="s">
        <v>137</v>
      </c>
      <c r="C66" s="130"/>
      <c r="D66" s="131"/>
      <c r="E66" s="132">
        <f t="shared" si="4"/>
        <v>0</v>
      </c>
    </row>
    <row r="67" spans="1:5" ht="15.75" x14ac:dyDescent="0.25">
      <c r="A67" s="129"/>
      <c r="B67" s="129" t="s">
        <v>11</v>
      </c>
      <c r="C67" s="130"/>
      <c r="D67" s="131"/>
      <c r="E67" s="132">
        <f t="shared" si="4"/>
        <v>0</v>
      </c>
    </row>
    <row r="68" spans="1:5" ht="15.75" x14ac:dyDescent="0.25">
      <c r="A68" s="129"/>
      <c r="B68" s="129" t="s">
        <v>138</v>
      </c>
      <c r="C68" s="130"/>
      <c r="D68" s="131"/>
      <c r="E68" s="132">
        <f t="shared" si="4"/>
        <v>0</v>
      </c>
    </row>
    <row r="69" spans="1:5" ht="15.75" x14ac:dyDescent="0.25">
      <c r="A69" s="98"/>
      <c r="B69" s="129" t="s">
        <v>139</v>
      </c>
      <c r="C69" s="130"/>
      <c r="D69" s="131"/>
      <c r="E69" s="140">
        <f t="shared" si="4"/>
        <v>0</v>
      </c>
    </row>
    <row r="70" spans="1:5" ht="15.75" x14ac:dyDescent="0.25">
      <c r="A70" s="35"/>
      <c r="B70" s="35"/>
      <c r="C70" s="95"/>
      <c r="D70" s="139"/>
      <c r="E70" s="140">
        <f t="shared" si="4"/>
        <v>0</v>
      </c>
    </row>
    <row r="71" spans="1:5" ht="15.75" x14ac:dyDescent="0.25">
      <c r="A71" s="35"/>
      <c r="B71" s="35"/>
      <c r="C71" s="95"/>
      <c r="D71" s="139"/>
      <c r="E71" s="140">
        <f t="shared" si="4"/>
        <v>0</v>
      </c>
    </row>
    <row r="72" spans="1:5" ht="15.75" x14ac:dyDescent="0.25">
      <c r="A72" s="35"/>
      <c r="B72" s="35"/>
      <c r="C72" s="95"/>
      <c r="D72" s="139"/>
      <c r="E72" s="140">
        <f t="shared" si="4"/>
        <v>0</v>
      </c>
    </row>
    <row r="73" spans="1:5" ht="15.75" x14ac:dyDescent="0.25">
      <c r="A73" s="35"/>
      <c r="B73" s="35"/>
      <c r="C73" s="95"/>
      <c r="D73" s="139"/>
      <c r="E73" s="140">
        <f t="shared" si="4"/>
        <v>0</v>
      </c>
    </row>
    <row r="74" spans="1:5" ht="15.75" x14ac:dyDescent="0.25">
      <c r="A74" s="35"/>
      <c r="B74" s="35"/>
      <c r="C74" s="95"/>
      <c r="D74" s="139"/>
      <c r="E74" s="140">
        <f t="shared" si="4"/>
        <v>0</v>
      </c>
    </row>
    <row r="75" spans="1:5" ht="16.5" thickBot="1" x14ac:dyDescent="0.3">
      <c r="A75" s="470" t="s">
        <v>118</v>
      </c>
      <c r="B75" s="470"/>
      <c r="C75" s="470"/>
      <c r="D75" s="470"/>
      <c r="E75" s="136">
        <f>SUM(E65:E74)</f>
        <v>0</v>
      </c>
    </row>
    <row r="76" spans="1:5" ht="16.5" thickTop="1" x14ac:dyDescent="0.25">
      <c r="A76" s="12"/>
      <c r="B76" s="12"/>
      <c r="C76" s="94"/>
      <c r="D76" s="12"/>
      <c r="E76" s="12"/>
    </row>
    <row r="77" spans="1:5" ht="15.75" x14ac:dyDescent="0.25">
      <c r="A77" s="12"/>
      <c r="B77" s="12"/>
      <c r="C77" s="94"/>
      <c r="D77" s="141" t="s">
        <v>27</v>
      </c>
      <c r="E77" s="142">
        <f>E15+E30+E45+E60+E75</f>
        <v>0</v>
      </c>
    </row>
  </sheetData>
  <mergeCells count="6">
    <mergeCell ref="A75:D75"/>
    <mergeCell ref="A3:E3"/>
    <mergeCell ref="A15:D15"/>
    <mergeCell ref="A30:D30"/>
    <mergeCell ref="A45:D45"/>
    <mergeCell ref="A60:D6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7"/>
  <sheetViews>
    <sheetView zoomScale="80" zoomScaleNormal="80" workbookViewId="0"/>
  </sheetViews>
  <sheetFormatPr defaultColWidth="9.28515625" defaultRowHeight="15.75" x14ac:dyDescent="0.2"/>
  <cols>
    <col min="1" max="1" width="25.7109375" style="196" customWidth="1"/>
    <col min="2" max="2" width="40.7109375" style="196" customWidth="1"/>
    <col min="3" max="3" width="12.7109375" style="422" customWidth="1"/>
    <col min="4" max="5" width="15.7109375" style="196" customWidth="1"/>
    <col min="6" max="8" width="9.28515625" style="196"/>
    <col min="9" max="9" width="19.42578125" style="196" bestFit="1" customWidth="1"/>
    <col min="10" max="10" width="18.7109375" style="196" customWidth="1"/>
    <col min="11" max="16384" width="9.28515625" style="196"/>
  </cols>
  <sheetData>
    <row r="1" spans="1:5" ht="18.75" x14ac:dyDescent="0.2">
      <c r="A1" s="421" t="s">
        <v>54</v>
      </c>
    </row>
    <row r="3" spans="1:5" x14ac:dyDescent="0.2">
      <c r="A3" s="476" t="s">
        <v>36</v>
      </c>
      <c r="B3" s="477"/>
      <c r="C3" s="477"/>
      <c r="D3" s="477"/>
      <c r="E3" s="478"/>
    </row>
    <row r="4" spans="1:5" x14ac:dyDescent="0.2">
      <c r="A4" s="423" t="s">
        <v>78</v>
      </c>
      <c r="B4" s="423" t="s">
        <v>77</v>
      </c>
      <c r="C4" s="82" t="s">
        <v>24</v>
      </c>
      <c r="D4" s="82" t="s">
        <v>25</v>
      </c>
      <c r="E4" s="128" t="s">
        <v>10</v>
      </c>
    </row>
    <row r="5" spans="1:5" x14ac:dyDescent="0.2">
      <c r="A5" s="97" t="s">
        <v>133</v>
      </c>
      <c r="B5" s="98"/>
      <c r="C5" s="99"/>
      <c r="D5" s="100"/>
      <c r="E5" s="101">
        <f t="shared" ref="E5:E14" si="0">C5*D5</f>
        <v>0</v>
      </c>
    </row>
    <row r="6" spans="1:5" x14ac:dyDescent="0.2">
      <c r="A6" s="97"/>
      <c r="B6" s="97"/>
      <c r="C6" s="99"/>
      <c r="D6" s="100"/>
      <c r="E6" s="101">
        <f t="shared" si="0"/>
        <v>0</v>
      </c>
    </row>
    <row r="7" spans="1:5" x14ac:dyDescent="0.2">
      <c r="A7" s="97"/>
      <c r="B7" s="97"/>
      <c r="C7" s="99"/>
      <c r="D7" s="100"/>
      <c r="E7" s="101">
        <f t="shared" si="0"/>
        <v>0</v>
      </c>
    </row>
    <row r="8" spans="1:5" x14ac:dyDescent="0.2">
      <c r="A8" s="97"/>
      <c r="B8" s="97"/>
      <c r="C8" s="99"/>
      <c r="D8" s="100"/>
      <c r="E8" s="101">
        <f t="shared" si="0"/>
        <v>0</v>
      </c>
    </row>
    <row r="9" spans="1:5" x14ac:dyDescent="0.2">
      <c r="A9" s="97" t="s">
        <v>134</v>
      </c>
      <c r="B9" s="97"/>
      <c r="C9" s="99"/>
      <c r="D9" s="100"/>
      <c r="E9" s="101">
        <f t="shared" si="0"/>
        <v>0</v>
      </c>
    </row>
    <row r="10" spans="1:5" x14ac:dyDescent="0.2">
      <c r="A10" s="97" t="s">
        <v>135</v>
      </c>
      <c r="B10" s="98"/>
      <c r="C10" s="99"/>
      <c r="D10" s="100"/>
      <c r="E10" s="101">
        <f t="shared" si="0"/>
        <v>0</v>
      </c>
    </row>
    <row r="11" spans="1:5" x14ac:dyDescent="0.2">
      <c r="A11" s="97" t="s">
        <v>139</v>
      </c>
      <c r="B11" s="97"/>
      <c r="C11" s="99"/>
      <c r="D11" s="100"/>
      <c r="E11" s="101">
        <f t="shared" si="0"/>
        <v>0</v>
      </c>
    </row>
    <row r="12" spans="1:5" x14ac:dyDescent="0.2">
      <c r="A12" s="97"/>
      <c r="B12" s="97"/>
      <c r="C12" s="99"/>
      <c r="D12" s="100"/>
      <c r="E12" s="101">
        <f t="shared" si="0"/>
        <v>0</v>
      </c>
    </row>
    <row r="13" spans="1:5" x14ac:dyDescent="0.2">
      <c r="A13" s="97"/>
      <c r="B13" s="97"/>
      <c r="C13" s="99"/>
      <c r="D13" s="100"/>
      <c r="E13" s="101">
        <f t="shared" si="0"/>
        <v>0</v>
      </c>
    </row>
    <row r="14" spans="1:5" x14ac:dyDescent="0.2">
      <c r="A14" s="97"/>
      <c r="B14" s="97"/>
      <c r="C14" s="99"/>
      <c r="D14" s="100"/>
      <c r="E14" s="101">
        <f t="shared" si="0"/>
        <v>0</v>
      </c>
    </row>
    <row r="15" spans="1:5" ht="16.5" thickBot="1" x14ac:dyDescent="0.25">
      <c r="A15" s="475" t="s">
        <v>58</v>
      </c>
      <c r="B15" s="475"/>
      <c r="C15" s="475"/>
      <c r="D15" s="475"/>
      <c r="E15" s="424">
        <f>SUM(E5:E14)</f>
        <v>0</v>
      </c>
    </row>
    <row r="16" spans="1:5" ht="16.5" thickTop="1" x14ac:dyDescent="0.2"/>
    <row r="18" spans="1:5" x14ac:dyDescent="0.2">
      <c r="A18" s="425" t="s">
        <v>60</v>
      </c>
      <c r="B18" s="426"/>
      <c r="C18" s="427"/>
      <c r="D18" s="426"/>
      <c r="E18" s="428"/>
    </row>
    <row r="19" spans="1:5" x14ac:dyDescent="0.2">
      <c r="A19" s="423" t="s">
        <v>78</v>
      </c>
      <c r="B19" s="423" t="s">
        <v>77</v>
      </c>
      <c r="C19" s="82" t="s">
        <v>24</v>
      </c>
      <c r="D19" s="82" t="s">
        <v>25</v>
      </c>
      <c r="E19" s="128" t="s">
        <v>10</v>
      </c>
    </row>
    <row r="20" spans="1:5" x14ac:dyDescent="0.2">
      <c r="A20" s="97" t="s">
        <v>133</v>
      </c>
      <c r="B20" s="98"/>
      <c r="C20" s="99"/>
      <c r="D20" s="100"/>
      <c r="E20" s="101">
        <f t="shared" ref="E20:E29" si="1">C20*D20</f>
        <v>0</v>
      </c>
    </row>
    <row r="21" spans="1:5" x14ac:dyDescent="0.2">
      <c r="A21" s="97"/>
      <c r="B21" s="97"/>
      <c r="C21" s="99"/>
      <c r="D21" s="100"/>
      <c r="E21" s="101">
        <f t="shared" si="1"/>
        <v>0</v>
      </c>
    </row>
    <row r="22" spans="1:5" x14ac:dyDescent="0.2">
      <c r="A22" s="97"/>
      <c r="B22" s="97"/>
      <c r="C22" s="99"/>
      <c r="D22" s="100"/>
      <c r="E22" s="101">
        <f t="shared" si="1"/>
        <v>0</v>
      </c>
    </row>
    <row r="23" spans="1:5" x14ac:dyDescent="0.2">
      <c r="A23" s="97"/>
      <c r="B23" s="97"/>
      <c r="C23" s="99"/>
      <c r="D23" s="100"/>
      <c r="E23" s="101">
        <f t="shared" si="1"/>
        <v>0</v>
      </c>
    </row>
    <row r="24" spans="1:5" x14ac:dyDescent="0.2">
      <c r="A24" s="97" t="s">
        <v>134</v>
      </c>
      <c r="B24" s="97"/>
      <c r="C24" s="99"/>
      <c r="D24" s="100"/>
      <c r="E24" s="101">
        <f t="shared" si="1"/>
        <v>0</v>
      </c>
    </row>
    <row r="25" spans="1:5" x14ac:dyDescent="0.2">
      <c r="A25" s="97" t="s">
        <v>135</v>
      </c>
      <c r="B25" s="98"/>
      <c r="C25" s="99"/>
      <c r="D25" s="100"/>
      <c r="E25" s="101">
        <f t="shared" si="1"/>
        <v>0</v>
      </c>
    </row>
    <row r="26" spans="1:5" x14ac:dyDescent="0.2">
      <c r="A26" s="97" t="s">
        <v>139</v>
      </c>
      <c r="B26" s="97"/>
      <c r="C26" s="99"/>
      <c r="D26" s="100"/>
      <c r="E26" s="101">
        <f t="shared" si="1"/>
        <v>0</v>
      </c>
    </row>
    <row r="27" spans="1:5" x14ac:dyDescent="0.2">
      <c r="A27" s="97"/>
      <c r="B27" s="97"/>
      <c r="C27" s="99"/>
      <c r="D27" s="100"/>
      <c r="E27" s="101">
        <f t="shared" si="1"/>
        <v>0</v>
      </c>
    </row>
    <row r="28" spans="1:5" x14ac:dyDescent="0.2">
      <c r="A28" s="97"/>
      <c r="B28" s="97"/>
      <c r="C28" s="99"/>
      <c r="D28" s="100"/>
      <c r="E28" s="101">
        <f t="shared" si="1"/>
        <v>0</v>
      </c>
    </row>
    <row r="29" spans="1:5" x14ac:dyDescent="0.2">
      <c r="A29" s="97"/>
      <c r="B29" s="97"/>
      <c r="C29" s="99"/>
      <c r="D29" s="100"/>
      <c r="E29" s="101">
        <f t="shared" si="1"/>
        <v>0</v>
      </c>
    </row>
    <row r="30" spans="1:5" ht="16.5" thickBot="1" x14ac:dyDescent="0.25">
      <c r="A30" s="475" t="s">
        <v>59</v>
      </c>
      <c r="B30" s="475"/>
      <c r="C30" s="475"/>
      <c r="D30" s="475"/>
      <c r="E30" s="424">
        <f>SUM(E20:E29)</f>
        <v>0</v>
      </c>
    </row>
    <row r="31" spans="1:5" ht="16.5" thickTop="1" x14ac:dyDescent="0.2"/>
    <row r="33" spans="1:5" x14ac:dyDescent="0.2">
      <c r="A33" s="425" t="s">
        <v>61</v>
      </c>
      <c r="B33" s="426"/>
      <c r="C33" s="427"/>
      <c r="D33" s="426"/>
      <c r="E33" s="428"/>
    </row>
    <row r="34" spans="1:5" x14ac:dyDescent="0.2">
      <c r="A34" s="423" t="s">
        <v>78</v>
      </c>
      <c r="B34" s="423" t="s">
        <v>77</v>
      </c>
      <c r="C34" s="82" t="s">
        <v>24</v>
      </c>
      <c r="D34" s="82" t="s">
        <v>25</v>
      </c>
      <c r="E34" s="128" t="s">
        <v>10</v>
      </c>
    </row>
    <row r="35" spans="1:5" x14ac:dyDescent="0.2">
      <c r="A35" s="97" t="s">
        <v>133</v>
      </c>
      <c r="B35" s="98"/>
      <c r="C35" s="99"/>
      <c r="D35" s="100"/>
      <c r="E35" s="101">
        <f t="shared" ref="E35:E44" si="2">C35*D35</f>
        <v>0</v>
      </c>
    </row>
    <row r="36" spans="1:5" x14ac:dyDescent="0.2">
      <c r="A36" s="97"/>
      <c r="B36" s="97"/>
      <c r="C36" s="99"/>
      <c r="D36" s="100"/>
      <c r="E36" s="101">
        <f t="shared" si="2"/>
        <v>0</v>
      </c>
    </row>
    <row r="37" spans="1:5" x14ac:dyDescent="0.2">
      <c r="A37" s="97"/>
      <c r="B37" s="97"/>
      <c r="C37" s="99"/>
      <c r="D37" s="100"/>
      <c r="E37" s="101">
        <f t="shared" si="2"/>
        <v>0</v>
      </c>
    </row>
    <row r="38" spans="1:5" x14ac:dyDescent="0.2">
      <c r="A38" s="97"/>
      <c r="B38" s="97"/>
      <c r="C38" s="99"/>
      <c r="D38" s="100"/>
      <c r="E38" s="101">
        <f t="shared" si="2"/>
        <v>0</v>
      </c>
    </row>
    <row r="39" spans="1:5" x14ac:dyDescent="0.2">
      <c r="A39" s="97" t="s">
        <v>134</v>
      </c>
      <c r="B39" s="97"/>
      <c r="C39" s="99"/>
      <c r="D39" s="100"/>
      <c r="E39" s="101">
        <f t="shared" si="2"/>
        <v>0</v>
      </c>
    </row>
    <row r="40" spans="1:5" x14ac:dyDescent="0.2">
      <c r="A40" s="97" t="s">
        <v>135</v>
      </c>
      <c r="B40" s="98"/>
      <c r="C40" s="99"/>
      <c r="D40" s="100"/>
      <c r="E40" s="101">
        <f t="shared" si="2"/>
        <v>0</v>
      </c>
    </row>
    <row r="41" spans="1:5" x14ac:dyDescent="0.2">
      <c r="A41" s="97" t="s">
        <v>139</v>
      </c>
      <c r="B41" s="97"/>
      <c r="C41" s="99"/>
      <c r="D41" s="100"/>
      <c r="E41" s="101">
        <f t="shared" si="2"/>
        <v>0</v>
      </c>
    </row>
    <row r="42" spans="1:5" x14ac:dyDescent="0.2">
      <c r="A42" s="97"/>
      <c r="B42" s="97"/>
      <c r="C42" s="99"/>
      <c r="D42" s="100"/>
      <c r="E42" s="101">
        <f t="shared" si="2"/>
        <v>0</v>
      </c>
    </row>
    <row r="43" spans="1:5" x14ac:dyDescent="0.2">
      <c r="A43" s="97"/>
      <c r="B43" s="97"/>
      <c r="C43" s="99"/>
      <c r="D43" s="100"/>
      <c r="E43" s="101">
        <f t="shared" si="2"/>
        <v>0</v>
      </c>
    </row>
    <row r="44" spans="1:5" x14ac:dyDescent="0.2">
      <c r="A44" s="97"/>
      <c r="B44" s="97"/>
      <c r="C44" s="99"/>
      <c r="D44" s="100"/>
      <c r="E44" s="101">
        <f t="shared" si="2"/>
        <v>0</v>
      </c>
    </row>
    <row r="45" spans="1:5" ht="16.5" thickBot="1" x14ac:dyDescent="0.25">
      <c r="A45" s="475" t="s">
        <v>64</v>
      </c>
      <c r="B45" s="475"/>
      <c r="C45" s="475"/>
      <c r="D45" s="475"/>
      <c r="E45" s="424">
        <f>SUM(E35:E44)</f>
        <v>0</v>
      </c>
    </row>
    <row r="46" spans="1:5" ht="16.5" thickTop="1" x14ac:dyDescent="0.2"/>
    <row r="48" spans="1:5" x14ac:dyDescent="0.2">
      <c r="A48" s="425" t="s">
        <v>62</v>
      </c>
      <c r="B48" s="426"/>
      <c r="C48" s="427"/>
      <c r="D48" s="426"/>
      <c r="E48" s="428"/>
    </row>
    <row r="49" spans="1:5" x14ac:dyDescent="0.2">
      <c r="A49" s="423" t="s">
        <v>78</v>
      </c>
      <c r="B49" s="423" t="s">
        <v>77</v>
      </c>
      <c r="C49" s="82" t="s">
        <v>24</v>
      </c>
      <c r="D49" s="82" t="s">
        <v>25</v>
      </c>
      <c r="E49" s="128" t="s">
        <v>10</v>
      </c>
    </row>
    <row r="50" spans="1:5" x14ac:dyDescent="0.2">
      <c r="A50" s="97" t="s">
        <v>133</v>
      </c>
      <c r="B50" s="97"/>
      <c r="C50" s="99"/>
      <c r="D50" s="100"/>
      <c r="E50" s="101">
        <f t="shared" ref="E50:E59" si="3">C50*D50</f>
        <v>0</v>
      </c>
    </row>
    <row r="51" spans="1:5" x14ac:dyDescent="0.2">
      <c r="A51" s="97"/>
      <c r="B51" s="97"/>
      <c r="C51" s="99"/>
      <c r="D51" s="100"/>
      <c r="E51" s="101">
        <f t="shared" si="3"/>
        <v>0</v>
      </c>
    </row>
    <row r="52" spans="1:5" x14ac:dyDescent="0.2">
      <c r="A52" s="97"/>
      <c r="B52" s="97"/>
      <c r="C52" s="99"/>
      <c r="D52" s="100"/>
      <c r="E52" s="101">
        <f t="shared" si="3"/>
        <v>0</v>
      </c>
    </row>
    <row r="53" spans="1:5" x14ac:dyDescent="0.2">
      <c r="A53" s="97"/>
      <c r="B53" s="97"/>
      <c r="C53" s="99"/>
      <c r="D53" s="100"/>
      <c r="E53" s="101">
        <f t="shared" si="3"/>
        <v>0</v>
      </c>
    </row>
    <row r="54" spans="1:5" x14ac:dyDescent="0.2">
      <c r="A54" s="97" t="s">
        <v>134</v>
      </c>
      <c r="B54" s="97"/>
      <c r="C54" s="99"/>
      <c r="D54" s="100"/>
      <c r="E54" s="101">
        <f t="shared" si="3"/>
        <v>0</v>
      </c>
    </row>
    <row r="55" spans="1:5" x14ac:dyDescent="0.2">
      <c r="A55" s="97" t="s">
        <v>135</v>
      </c>
      <c r="B55" s="97"/>
      <c r="C55" s="99"/>
      <c r="D55" s="100"/>
      <c r="E55" s="101">
        <f t="shared" si="3"/>
        <v>0</v>
      </c>
    </row>
    <row r="56" spans="1:5" x14ac:dyDescent="0.2">
      <c r="A56" s="97" t="s">
        <v>139</v>
      </c>
      <c r="B56" s="97"/>
      <c r="C56" s="99"/>
      <c r="D56" s="100"/>
      <c r="E56" s="101">
        <f t="shared" si="3"/>
        <v>0</v>
      </c>
    </row>
    <row r="57" spans="1:5" x14ac:dyDescent="0.2">
      <c r="A57" s="97"/>
      <c r="B57" s="97"/>
      <c r="C57" s="99"/>
      <c r="D57" s="100"/>
      <c r="E57" s="101">
        <f t="shared" si="3"/>
        <v>0</v>
      </c>
    </row>
    <row r="58" spans="1:5" x14ac:dyDescent="0.2">
      <c r="A58" s="97"/>
      <c r="B58" s="97"/>
      <c r="C58" s="99"/>
      <c r="D58" s="100"/>
      <c r="E58" s="101">
        <f t="shared" si="3"/>
        <v>0</v>
      </c>
    </row>
    <row r="59" spans="1:5" x14ac:dyDescent="0.2">
      <c r="A59" s="97"/>
      <c r="B59" s="97"/>
      <c r="C59" s="99"/>
      <c r="D59" s="100"/>
      <c r="E59" s="101">
        <f t="shared" si="3"/>
        <v>0</v>
      </c>
    </row>
    <row r="60" spans="1:5" ht="16.5" thickBot="1" x14ac:dyDescent="0.25">
      <c r="A60" s="475" t="s">
        <v>65</v>
      </c>
      <c r="B60" s="475"/>
      <c r="C60" s="475"/>
      <c r="D60" s="475"/>
      <c r="E60" s="424">
        <f>SUM(E50:E59)</f>
        <v>0</v>
      </c>
    </row>
    <row r="61" spans="1:5" ht="16.5" thickTop="1" x14ac:dyDescent="0.2"/>
    <row r="63" spans="1:5" x14ac:dyDescent="0.2">
      <c r="A63" s="425" t="s">
        <v>63</v>
      </c>
      <c r="B63" s="426"/>
      <c r="C63" s="427"/>
      <c r="D63" s="426"/>
      <c r="E63" s="428"/>
    </row>
    <row r="64" spans="1:5" x14ac:dyDescent="0.2">
      <c r="A64" s="423" t="s">
        <v>78</v>
      </c>
      <c r="B64" s="423" t="s">
        <v>77</v>
      </c>
      <c r="C64" s="82"/>
      <c r="D64" s="82"/>
      <c r="E64" s="128" t="s">
        <v>10</v>
      </c>
    </row>
    <row r="65" spans="1:5" x14ac:dyDescent="0.2">
      <c r="A65" s="97" t="s">
        <v>133</v>
      </c>
      <c r="B65" s="97"/>
      <c r="C65" s="99"/>
      <c r="D65" s="100"/>
      <c r="E65" s="101">
        <f t="shared" ref="E65:E74" si="4">C65*D65</f>
        <v>0</v>
      </c>
    </row>
    <row r="66" spans="1:5" x14ac:dyDescent="0.2">
      <c r="A66" s="97"/>
      <c r="B66" s="97"/>
      <c r="C66" s="99"/>
      <c r="D66" s="100"/>
      <c r="E66" s="101">
        <f t="shared" si="4"/>
        <v>0</v>
      </c>
    </row>
    <row r="67" spans="1:5" x14ac:dyDescent="0.2">
      <c r="A67" s="97"/>
      <c r="B67" s="97"/>
      <c r="C67" s="99"/>
      <c r="D67" s="100"/>
      <c r="E67" s="101">
        <f t="shared" si="4"/>
        <v>0</v>
      </c>
    </row>
    <row r="68" spans="1:5" x14ac:dyDescent="0.2">
      <c r="A68" s="97"/>
      <c r="B68" s="97"/>
      <c r="C68" s="99"/>
      <c r="D68" s="100"/>
      <c r="E68" s="101">
        <f t="shared" si="4"/>
        <v>0</v>
      </c>
    </row>
    <row r="69" spans="1:5" x14ac:dyDescent="0.2">
      <c r="A69" s="97" t="s">
        <v>134</v>
      </c>
      <c r="B69" s="97"/>
      <c r="C69" s="99"/>
      <c r="D69" s="100"/>
      <c r="E69" s="101">
        <f t="shared" si="4"/>
        <v>0</v>
      </c>
    </row>
    <row r="70" spans="1:5" x14ac:dyDescent="0.2">
      <c r="A70" s="97" t="s">
        <v>135</v>
      </c>
      <c r="B70" s="97"/>
      <c r="C70" s="99"/>
      <c r="D70" s="100"/>
      <c r="E70" s="101">
        <f t="shared" si="4"/>
        <v>0</v>
      </c>
    </row>
    <row r="71" spans="1:5" x14ac:dyDescent="0.2">
      <c r="A71" s="97" t="s">
        <v>139</v>
      </c>
      <c r="B71" s="97"/>
      <c r="C71" s="99"/>
      <c r="D71" s="100"/>
      <c r="E71" s="101">
        <f t="shared" si="4"/>
        <v>0</v>
      </c>
    </row>
    <row r="72" spans="1:5" x14ac:dyDescent="0.2">
      <c r="A72" s="97"/>
      <c r="B72" s="97"/>
      <c r="C72" s="99"/>
      <c r="D72" s="100"/>
      <c r="E72" s="101">
        <f t="shared" si="4"/>
        <v>0</v>
      </c>
    </row>
    <row r="73" spans="1:5" x14ac:dyDescent="0.2">
      <c r="A73" s="97"/>
      <c r="B73" s="97"/>
      <c r="C73" s="99"/>
      <c r="D73" s="100"/>
      <c r="E73" s="101">
        <f t="shared" si="4"/>
        <v>0</v>
      </c>
    </row>
    <row r="74" spans="1:5" x14ac:dyDescent="0.2">
      <c r="A74" s="97"/>
      <c r="B74" s="97"/>
      <c r="C74" s="99"/>
      <c r="D74" s="100"/>
      <c r="E74" s="101">
        <f t="shared" si="4"/>
        <v>0</v>
      </c>
    </row>
    <row r="75" spans="1:5" ht="16.5" thickBot="1" x14ac:dyDescent="0.25">
      <c r="A75" s="475" t="s">
        <v>66</v>
      </c>
      <c r="B75" s="475"/>
      <c r="C75" s="475"/>
      <c r="D75" s="475"/>
      <c r="E75" s="424">
        <f>SUM(E65:E74)</f>
        <v>0</v>
      </c>
    </row>
    <row r="76" spans="1:5" ht="16.5" thickTop="1" x14ac:dyDescent="0.2"/>
    <row r="77" spans="1:5" x14ac:dyDescent="0.2">
      <c r="D77" s="118" t="s">
        <v>27</v>
      </c>
      <c r="E77" s="429">
        <f>E15+E30+E45+E60+E75</f>
        <v>0</v>
      </c>
    </row>
  </sheetData>
  <mergeCells count="6">
    <mergeCell ref="A75:D75"/>
    <mergeCell ref="A3:E3"/>
    <mergeCell ref="A15:D15"/>
    <mergeCell ref="A30:D30"/>
    <mergeCell ref="A45:D45"/>
    <mergeCell ref="A60:D6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Z164"/>
  <sheetViews>
    <sheetView zoomScale="80" zoomScaleNormal="80" workbookViewId="0">
      <selection sqref="A1:G2"/>
    </sheetView>
  </sheetViews>
  <sheetFormatPr defaultColWidth="8.7109375" defaultRowHeight="15.75" outlineLevelRow="1" x14ac:dyDescent="0.25"/>
  <cols>
    <col min="1" max="1" width="56.7109375" style="1" bestFit="1" customWidth="1"/>
    <col min="2" max="6" width="13.7109375" style="1" customWidth="1"/>
    <col min="7" max="7" width="14.7109375" style="2" customWidth="1"/>
    <col min="8" max="8" width="2.7109375" style="2" customWidth="1"/>
    <col min="9" max="9" width="33" style="1" customWidth="1"/>
    <col min="10" max="14" width="11.7109375" style="1" customWidth="1"/>
    <col min="15" max="15" width="17.7109375" style="1" customWidth="1"/>
    <col min="16" max="16" width="14.42578125" style="1" hidden="1" customWidth="1"/>
    <col min="17" max="17" width="12.7109375" style="1" hidden="1" customWidth="1"/>
    <col min="18" max="18" width="12.28515625" style="1" hidden="1" customWidth="1"/>
    <col min="19" max="19" width="3.42578125" style="1" hidden="1" customWidth="1"/>
    <col min="20" max="20" width="30.28515625" style="1" bestFit="1" customWidth="1"/>
    <col min="21" max="21" width="12" style="92" bestFit="1" customWidth="1"/>
    <col min="22" max="22" width="8" style="92" bestFit="1" customWidth="1"/>
    <col min="23" max="23" width="22.28515625" style="23" bestFit="1" customWidth="1"/>
    <col min="24" max="24" width="12.7109375" style="1" bestFit="1" customWidth="1"/>
    <col min="25" max="25" width="26" style="1" bestFit="1" customWidth="1"/>
    <col min="26" max="26" width="7.7109375" style="1" bestFit="1" customWidth="1"/>
    <col min="27" max="16384" width="8.7109375" style="1"/>
  </cols>
  <sheetData>
    <row r="1" spans="1:26" s="2" customFormat="1" ht="15.75" customHeight="1" x14ac:dyDescent="0.25">
      <c r="A1" s="482" t="s">
        <v>174</v>
      </c>
      <c r="B1" s="483"/>
      <c r="C1" s="483"/>
      <c r="D1" s="483"/>
      <c r="E1" s="483"/>
      <c r="F1" s="483"/>
      <c r="G1" s="484"/>
      <c r="I1" s="462" t="s">
        <v>18</v>
      </c>
      <c r="J1" s="463"/>
      <c r="K1" s="463"/>
      <c r="L1" s="463"/>
      <c r="M1" s="463"/>
      <c r="N1" s="463"/>
      <c r="O1" s="464"/>
      <c r="T1" s="161"/>
      <c r="U1" s="501"/>
      <c r="V1" s="50"/>
      <c r="W1" s="183"/>
      <c r="Y1" s="479" t="s">
        <v>169</v>
      </c>
      <c r="Z1" s="479"/>
    </row>
    <row r="2" spans="1:26" s="2" customFormat="1" ht="28.5" customHeight="1" x14ac:dyDescent="0.25">
      <c r="A2" s="485"/>
      <c r="B2" s="486"/>
      <c r="C2" s="486"/>
      <c r="D2" s="486"/>
      <c r="E2" s="486"/>
      <c r="F2" s="486"/>
      <c r="G2" s="487"/>
      <c r="I2" s="465"/>
      <c r="J2" s="466"/>
      <c r="K2" s="466"/>
      <c r="L2" s="466"/>
      <c r="M2" s="466"/>
      <c r="N2" s="466"/>
      <c r="O2" s="467"/>
      <c r="T2" s="161" t="s">
        <v>188</v>
      </c>
      <c r="U2" s="181">
        <f>Budget!AB3</f>
        <v>61008</v>
      </c>
      <c r="V2" s="5"/>
      <c r="W2" s="123"/>
      <c r="Y2" s="154" t="s">
        <v>170</v>
      </c>
      <c r="Z2" s="262"/>
    </row>
    <row r="3" spans="1:26" s="2" customFormat="1" ht="30.75" customHeight="1" x14ac:dyDescent="0.25">
      <c r="A3" s="480" t="str">
        <f>Budget!A3</f>
        <v xml:space="preserve">Project Title: </v>
      </c>
      <c r="B3" s="480"/>
      <c r="C3" s="480"/>
      <c r="D3" s="480"/>
      <c r="E3" s="480"/>
      <c r="F3" s="480"/>
      <c r="G3" s="480"/>
      <c r="I3" s="38"/>
      <c r="J3" s="50" t="s">
        <v>28</v>
      </c>
      <c r="K3" s="50"/>
      <c r="L3" s="50"/>
      <c r="M3" s="50"/>
      <c r="N3" s="50"/>
      <c r="O3" s="51" t="s">
        <v>29</v>
      </c>
      <c r="P3" s="1">
        <f>IF(MONTH(J4)&gt;6, 12+7-MONTH(J4), 7-MONTH(J4))</f>
        <v>12</v>
      </c>
      <c r="Q3" s="2" t="s">
        <v>125</v>
      </c>
      <c r="T3" s="161" t="s">
        <v>148</v>
      </c>
      <c r="U3" s="181">
        <f>Budget!U3</f>
        <v>14738</v>
      </c>
      <c r="V3" s="263">
        <f>Budget!V3</f>
        <v>0.08</v>
      </c>
      <c r="W3" s="184" t="s">
        <v>161</v>
      </c>
      <c r="Y3" s="154" t="s">
        <v>125</v>
      </c>
      <c r="Z3" s="144"/>
    </row>
    <row r="4" spans="1:26" ht="15.75" customHeight="1" thickBot="1" x14ac:dyDescent="0.3">
      <c r="A4" s="115" t="str">
        <f>"Period of Performance: "&amp;TEXT(J4, "mm/dd/yy")&amp;" - "&amp;TEXT(O4, "mm/dd/yy")&amp;" ["&amp;ROUND(J6,2)&amp; " Year(s)]"</f>
        <v>Period of Performance: 07/01/24 - 01/00/00 [124.5 Year(s)]</v>
      </c>
      <c r="B4" s="116"/>
      <c r="C4" s="116"/>
      <c r="D4" s="116"/>
      <c r="E4" s="116"/>
      <c r="F4" s="116"/>
      <c r="G4" s="115"/>
      <c r="I4" s="53" t="s">
        <v>52</v>
      </c>
      <c r="J4" s="39">
        <f>Budget!J4</f>
        <v>45474</v>
      </c>
      <c r="K4" s="152"/>
      <c r="L4" s="152"/>
      <c r="M4" s="152"/>
      <c r="N4" s="152"/>
      <c r="O4" s="40">
        <f>Budget!O4</f>
        <v>0</v>
      </c>
      <c r="P4" s="1">
        <f>IF(DAY(J4)&gt;1,(P3-1+((DAY(DATE(YEAR(J4),MONTH(J4)+1,0))-DAY(J4))/DAY(DATE(YEAR(J4),MONTH(J4)+1,0)))),P3)</f>
        <v>12</v>
      </c>
      <c r="Q4" s="1" t="s">
        <v>123</v>
      </c>
      <c r="T4" s="161" t="s">
        <v>160</v>
      </c>
      <c r="U4" s="250">
        <f>Budget!U4</f>
        <v>15</v>
      </c>
      <c r="V4" s="182"/>
      <c r="W4" s="185"/>
      <c r="Y4" s="154" t="s">
        <v>171</v>
      </c>
      <c r="Z4" s="264"/>
    </row>
    <row r="5" spans="1:26" x14ac:dyDescent="0.25">
      <c r="A5" s="2"/>
      <c r="I5" s="9"/>
      <c r="J5" s="5" t="s">
        <v>80</v>
      </c>
      <c r="K5" s="5"/>
      <c r="L5" s="5"/>
      <c r="M5" s="5"/>
      <c r="N5" s="5"/>
      <c r="O5" s="49" t="s">
        <v>14</v>
      </c>
      <c r="P5" s="1">
        <f>IF(O4-J4&lt;366, P4/((YEAR(O4)-YEAR(J4))*12+MONTH(O4)-MONTH(J4)+1),0)</f>
        <v>-8.0375083724045539E-3</v>
      </c>
      <c r="Q5" s="1" t="s">
        <v>124</v>
      </c>
      <c r="T5" s="5"/>
      <c r="U5" s="5" t="s">
        <v>82</v>
      </c>
      <c r="V5" s="5" t="s">
        <v>86</v>
      </c>
      <c r="W5" s="5" t="s">
        <v>110</v>
      </c>
      <c r="Y5" s="161" t="s">
        <v>172</v>
      </c>
      <c r="Z5" s="2">
        <f>IF(Z3="F",Z2*12*Z4,IF(Z3="A",Z2*9*Z4,0))</f>
        <v>0</v>
      </c>
    </row>
    <row r="6" spans="1:26" s="5" customFormat="1" x14ac:dyDescent="0.25">
      <c r="A6" s="7"/>
      <c r="B6" s="6" t="s">
        <v>6</v>
      </c>
      <c r="C6" s="7" t="s">
        <v>5</v>
      </c>
      <c r="D6" s="7" t="s">
        <v>7</v>
      </c>
      <c r="E6" s="7" t="s">
        <v>8</v>
      </c>
      <c r="F6" s="7" t="s">
        <v>9</v>
      </c>
      <c r="G6" s="7" t="s">
        <v>10</v>
      </c>
      <c r="I6" s="8"/>
      <c r="J6" s="52">
        <f>YEARFRAC(J4, O4)</f>
        <v>124.50277777777778</v>
      </c>
      <c r="K6" s="52"/>
      <c r="L6" s="52"/>
      <c r="M6" s="52"/>
      <c r="N6" s="52"/>
      <c r="O6" s="41">
        <f>Budget!O6</f>
        <v>0</v>
      </c>
      <c r="T6" s="5" t="s">
        <v>149</v>
      </c>
      <c r="U6" s="5" t="s">
        <v>83</v>
      </c>
      <c r="V6" s="5" t="s">
        <v>122</v>
      </c>
      <c r="W6" s="5" t="s">
        <v>111</v>
      </c>
      <c r="Y6" s="161" t="s">
        <v>173</v>
      </c>
      <c r="Z6" s="265">
        <f>IF(Z3="F",Z5/12,IF(Z3="A",Z5/9,0))</f>
        <v>0</v>
      </c>
    </row>
    <row r="7" spans="1:26" s="2" customFormat="1" x14ac:dyDescent="0.25">
      <c r="A7" s="115" t="s">
        <v>3</v>
      </c>
      <c r="B7" s="54"/>
      <c r="C7" s="54"/>
      <c r="D7" s="54"/>
      <c r="E7" s="54"/>
      <c r="F7" s="54"/>
      <c r="G7" s="54"/>
      <c r="I7" s="9"/>
      <c r="J7" s="5" t="s">
        <v>6</v>
      </c>
      <c r="K7" s="5" t="s">
        <v>5</v>
      </c>
      <c r="L7" s="5" t="s">
        <v>7</v>
      </c>
      <c r="M7" s="5" t="s">
        <v>8</v>
      </c>
      <c r="N7" s="5" t="s">
        <v>9</v>
      </c>
      <c r="O7" s="10"/>
      <c r="T7" s="89"/>
      <c r="U7" s="5"/>
      <c r="V7" s="266"/>
      <c r="W7" s="123"/>
    </row>
    <row r="8" spans="1:26" hidden="1" outlineLevel="1" x14ac:dyDescent="0.25">
      <c r="A8" s="23" t="s">
        <v>84</v>
      </c>
      <c r="B8" s="55"/>
      <c r="C8" s="56"/>
      <c r="D8" s="56"/>
      <c r="E8" s="56"/>
      <c r="F8" s="56"/>
      <c r="G8" s="54"/>
      <c r="I8" s="106" t="s">
        <v>128</v>
      </c>
      <c r="J8" s="179">
        <f>IF(U12="F",J9*12,SUM(J10*9,J11))</f>
        <v>0</v>
      </c>
      <c r="K8" s="179">
        <f>IF(U12="F",K9*12,SUM(K10*9,K11))</f>
        <v>0</v>
      </c>
      <c r="L8" s="179">
        <f>IF(U12="F",L9*12,SUM(L10*9,L11))</f>
        <v>0</v>
      </c>
      <c r="M8" s="179">
        <f>IF(U12="F",M9*12,SUM(M10*9,M11))</f>
        <v>0</v>
      </c>
      <c r="N8" s="179">
        <f>IF(U12="F",N9*12,SUM(N10*9,N11))</f>
        <v>0</v>
      </c>
      <c r="O8" s="49" t="s">
        <v>51</v>
      </c>
      <c r="P8" s="153" t="s">
        <v>126</v>
      </c>
      <c r="Q8" s="153" t="s">
        <v>127</v>
      </c>
      <c r="R8" s="11"/>
      <c r="S8" s="12"/>
      <c r="T8" s="90"/>
      <c r="V8" s="267"/>
    </row>
    <row r="9" spans="1:26" hidden="1" outlineLevel="1" x14ac:dyDescent="0.25">
      <c r="A9" s="13" t="str">
        <f>ROUND(P9*100, 2)&amp;"% Avg. Fiscal Effort, "&amp;ROUND(Q9, 2)&amp;" Avg. Calendar Months"</f>
        <v>0% Avg. Fiscal Effort, 0 Avg. Calendar Months</v>
      </c>
      <c r="B9" s="55">
        <f>O9*J9</f>
        <v>0</v>
      </c>
      <c r="C9" s="55">
        <f>IF($J$6&gt;1,IF($U$1&lt;&gt;0,IF(O9*(1+$O$6)&lt;=$U$1,O9*K9*(1+$O$6),$U$1*K9),O9*K9*(1+$O$6)),0)</f>
        <v>0</v>
      </c>
      <c r="D9" s="55">
        <f>IF($J$6&gt;2,IF($U$1&lt;&gt;0,IF(O9*(1+$O$6)^2&lt;=$U$1,O9*L9*(1+$O$6)^2,$U$1*L9),O9*L9*(1+$O$6)^2),0)</f>
        <v>0</v>
      </c>
      <c r="E9" s="55">
        <f>IF($J$6&gt;3,IF($U$1&lt;&gt;0,IF(O9*(1+$O$6)^3&lt;=$U$1,O9*M9*(1+$O$6)^3,$U$1*M9),O9*M9*(1+$O$6)^3),0)</f>
        <v>0</v>
      </c>
      <c r="F9" s="55">
        <f>IF($J$6&gt;4,IF($U$1&lt;&gt;0,IF(O9*(1+$O$6)^4&lt;=$U$1,O9*N9*(1+$O$6)^4,$U$1*N9),O9*N9*(1+$O$6)^4),0)</f>
        <v>0</v>
      </c>
      <c r="G9" s="54">
        <f>SUM(B9:F9)</f>
        <v>0</v>
      </c>
      <c r="H9" s="14"/>
      <c r="I9" s="106" t="s">
        <v>26</v>
      </c>
      <c r="J9" s="268">
        <v>0</v>
      </c>
      <c r="K9" s="268">
        <f>IF($J$6&gt;1,J9,0)</f>
        <v>0</v>
      </c>
      <c r="L9" s="268">
        <f>IF($J$6&gt;2,K9,0)</f>
        <v>0</v>
      </c>
      <c r="M9" s="268">
        <f>IF($J$6&gt;3,L9,0)</f>
        <v>0</v>
      </c>
      <c r="N9" s="268">
        <f>IF($J$6&gt;4,M9,0)</f>
        <v>0</v>
      </c>
      <c r="O9" s="145">
        <f>IF(U12="F",IF($U$1&lt;&gt;0,IF(T12&gt;$U$1,$U$1,T12),T12),0)</f>
        <v>0</v>
      </c>
      <c r="P9" s="154">
        <f>SUM(J8:N8)/(ROUNDUP($J$6,0)*12)</f>
        <v>0</v>
      </c>
      <c r="Q9" s="155">
        <f>(SUM(J8:N8)/(CEILING($J$6*12,12)))*12</f>
        <v>0</v>
      </c>
      <c r="T9" s="90"/>
      <c r="V9" s="267"/>
      <c r="X9" s="18"/>
    </row>
    <row r="10" spans="1:26" hidden="1" outlineLevel="1" x14ac:dyDescent="0.25">
      <c r="A10" s="481" t="str">
        <f>ROUND(P9*100,2)&amp;"% Annualized Effort, "&amp;ROUND(Q10,2)&amp;" Avg. Academic Months
"&amp;IF(SUM(J11:N11)&gt;0," and "&amp;Q11 &amp;" Avg. Summer Months", "")</f>
        <v xml:space="preserve">0% Annualized Effort, 0 Avg. Academic Months
</v>
      </c>
      <c r="B10" s="55">
        <f>J10*O10</f>
        <v>0</v>
      </c>
      <c r="C10" s="55">
        <f>IF($J$6&gt;1,IF($U$1&lt;&gt;0,IF(O10*(1+$O$6)&lt;=$U$1*0.75,O10*K10*(1+$O$6),$U$1*0.75*K10),O10*K10*(1+$O$6)),0)</f>
        <v>0</v>
      </c>
      <c r="D10" s="55">
        <f>IF($J$6&gt;2,IF($U$1&lt;&gt;0,IF(O10*(1+$O$6)^2&lt;=$U$1*0.75,O10*L10*(1+$O$6)^2,$U$1*0.75*L10),O10*L10*(1+$O$6)^2),0)</f>
        <v>0</v>
      </c>
      <c r="E10" s="55">
        <f>IF($J$6&gt;3,IF($U$1&lt;&gt;0,IF(O10*(1+$O$6)^3&lt;=$U$1*0.75,O10*M10*(1+$O$6)^3,$U$1*0.75*M10),O10*M10*(1+$O$6)^3),0)</f>
        <v>0</v>
      </c>
      <c r="F10" s="55">
        <f>IF($J$6&gt;4,IF($U$1&lt;&gt;0,IF(O10*(1+$O$6)^4&lt;=$U$1*0.75,O10*N10*(1+$O$6)^4,$U$1*0.75*N10),O10*N10*(1+$O$6)^4),0)</f>
        <v>0</v>
      </c>
      <c r="G10" s="54">
        <f>SUM(B10:F10)</f>
        <v>0</v>
      </c>
      <c r="H10" s="14"/>
      <c r="I10" s="106" t="s">
        <v>15</v>
      </c>
      <c r="J10" s="268">
        <v>0</v>
      </c>
      <c r="K10" s="268">
        <f>IF($J$6&gt;1,J10,0)</f>
        <v>0</v>
      </c>
      <c r="L10" s="268">
        <f>IF($J$6&gt;2,K10,0)</f>
        <v>0</v>
      </c>
      <c r="M10" s="268">
        <f>IF($J$6&gt;3,L10,0)</f>
        <v>0</v>
      </c>
      <c r="N10" s="268">
        <f>IF($J$6&gt;4,M10,0)</f>
        <v>0</v>
      </c>
      <c r="O10" s="145">
        <f>IF(U12="A",IF($U$1&lt;&gt;0,IF(T12&gt;($U$1/12*9),($U$1/12*9),T12),T12),0)</f>
        <v>0</v>
      </c>
      <c r="P10" s="211"/>
      <c r="Q10" s="156">
        <f>((SUM(J8:N8)-SUM(J11:N11))/(CEILING($J$6*9,9)))*9</f>
        <v>0</v>
      </c>
      <c r="R10" s="12"/>
      <c r="S10" s="12"/>
      <c r="T10" s="90"/>
      <c r="V10" s="267"/>
    </row>
    <row r="11" spans="1:26" hidden="1" outlineLevel="1" x14ac:dyDescent="0.25">
      <c r="A11" s="481"/>
      <c r="B11" s="55">
        <f>J11/3*O11</f>
        <v>0</v>
      </c>
      <c r="C11" s="55">
        <f>IF($J$6&gt;1,IF($U$1&lt;&gt;0,IF(O11*(1+$O$6)&lt;=$U$1*0.25,O11*K11/3*(1+$O$6),$U$1*0.25*K11/3),O11*K11/3*(1+$O$6)),0)</f>
        <v>0</v>
      </c>
      <c r="D11" s="55">
        <f>IF($J$6&gt;2,IF($U$1&lt;&gt;0,IF(O11*(1+$O$6)^2&lt;=$U$1*0.25,O11*L11/3*(1+$O$6)^2,$U$1*0.25*L11/3),O11*L11/3*(1+$O$6)^2),0)</f>
        <v>0</v>
      </c>
      <c r="E11" s="55">
        <f>IF($J$6&gt;3,IF($U$1&lt;&gt;0,IF(O11*(1+$O$6)^3&lt;=$U$1*0.25,O11*M11/3*(1+$O$6)^3,$U$1*0.25*M11/3),O11*M11/3*(1+$O$6)^3),0)</f>
        <v>0</v>
      </c>
      <c r="F11" s="55">
        <f>IF($J$6&gt;4,IF($U$1&lt;&gt;0,IF(O11*(1+$O$6)^4&lt;=$U$1*0.25,O11*N11/3*(1+$O$6)^4,$U$1*0.25*N11/3),O11*N11/3*(1+$O$6)^4),0)</f>
        <v>0</v>
      </c>
      <c r="G11" s="54">
        <f>SUM(B11:F11)</f>
        <v>0</v>
      </c>
      <c r="H11" s="14"/>
      <c r="I11" s="106" t="s">
        <v>17</v>
      </c>
      <c r="J11" s="269">
        <v>0</v>
      </c>
      <c r="K11" s="269">
        <f>IF($J$6&gt;1,J11,0)</f>
        <v>0</v>
      </c>
      <c r="L11" s="269">
        <f>IF($J$6&gt;2,K11,0)</f>
        <v>0</v>
      </c>
      <c r="M11" s="269">
        <f>IF($J$6&gt;3,L11,0)</f>
        <v>0</v>
      </c>
      <c r="N11" s="269">
        <f>IF($J$6&gt;4,M11,0)</f>
        <v>0</v>
      </c>
      <c r="O11" s="145">
        <f>IF(U12="A",IF($U$1&lt;&gt;0,IF(T12*0.000731*456&gt;($U$1/12*3),($U$1/12*3),T12*0.000731*456),T12*0.000731*456),0)</f>
        <v>0</v>
      </c>
      <c r="P11" s="157"/>
      <c r="Q11" s="157">
        <f>((SUM(J8:N8)-SUM(J10:N10)*9)/(CEILING($J$6*3,3)))*3</f>
        <v>0</v>
      </c>
      <c r="R11" s="12"/>
      <c r="S11" s="12"/>
      <c r="V11" s="267"/>
      <c r="Y11"/>
      <c r="Z11"/>
    </row>
    <row r="12" spans="1:26" hidden="1" outlineLevel="1" x14ac:dyDescent="0.25">
      <c r="A12" s="19"/>
      <c r="B12" s="55"/>
      <c r="C12" s="55"/>
      <c r="D12" s="56"/>
      <c r="E12" s="56"/>
      <c r="F12" s="56"/>
      <c r="G12" s="57"/>
      <c r="H12" s="20"/>
      <c r="I12" s="169" t="s">
        <v>109</v>
      </c>
      <c r="J12" s="180">
        <f>SUM(B9:B11)*$V12</f>
        <v>0</v>
      </c>
      <c r="K12" s="180">
        <f>SUM(C9:C11)*$V12</f>
        <v>0</v>
      </c>
      <c r="L12" s="180">
        <f>SUM(D9:D11)*$V12</f>
        <v>0</v>
      </c>
      <c r="M12" s="180">
        <f>SUM(E9:E11)*$V12</f>
        <v>0</v>
      </c>
      <c r="N12" s="180">
        <f>SUM(F9:F11)*$V12</f>
        <v>0</v>
      </c>
      <c r="O12" s="22"/>
      <c r="P12" s="157"/>
      <c r="Q12" s="157"/>
      <c r="R12" s="12"/>
      <c r="S12" s="12"/>
      <c r="T12" s="270"/>
      <c r="U12" s="271"/>
      <c r="V12" s="272"/>
      <c r="W12" s="174"/>
      <c r="Y12"/>
      <c r="Z12"/>
    </row>
    <row r="13" spans="1:26" hidden="1" outlineLevel="1" x14ac:dyDescent="0.25">
      <c r="A13" s="23" t="s">
        <v>84</v>
      </c>
      <c r="B13" s="55"/>
      <c r="C13" s="56"/>
      <c r="D13" s="56"/>
      <c r="E13" s="56"/>
      <c r="F13" s="56"/>
      <c r="G13" s="54"/>
      <c r="I13" s="106" t="s">
        <v>128</v>
      </c>
      <c r="J13" s="179">
        <f>IF(U17="F",J14*12,SUM(J15*9,J16))</f>
        <v>0</v>
      </c>
      <c r="K13" s="179">
        <f>IF(U17="F",K14*12,SUM(K15*9,K16))</f>
        <v>0</v>
      </c>
      <c r="L13" s="179">
        <f>IF(U17="F",L14*12,SUM(L15*9,L16))</f>
        <v>0</v>
      </c>
      <c r="M13" s="179">
        <f>IF(U17="F",M14*12,SUM(M15*9,M16))</f>
        <v>0</v>
      </c>
      <c r="N13" s="179">
        <f>IF(U17="F",N14*12,SUM(N15*9,N16))</f>
        <v>0</v>
      </c>
      <c r="O13" s="49" t="s">
        <v>51</v>
      </c>
      <c r="P13" s="153" t="s">
        <v>126</v>
      </c>
      <c r="Q13" s="153" t="s">
        <v>127</v>
      </c>
      <c r="R13" s="11"/>
      <c r="S13" s="12"/>
      <c r="T13" s="90"/>
      <c r="V13" s="267"/>
      <c r="Y13"/>
      <c r="Z13"/>
    </row>
    <row r="14" spans="1:26" hidden="1" outlineLevel="1" x14ac:dyDescent="0.25">
      <c r="A14" s="13" t="str">
        <f>ROUND(P14*100, 2)&amp;"% Avg. Fiscal Effort, "&amp;ROUND(Q14, 2)&amp;" Avg. Calendar Months"</f>
        <v>0% Avg. Fiscal Effort, 0 Avg. Calendar Months</v>
      </c>
      <c r="B14" s="55">
        <f>O14*J14</f>
        <v>0</v>
      </c>
      <c r="C14" s="55">
        <f>IF($J$6&gt;1,IF($U$1&lt;&gt;0,IF(O14*(1+$O$6)&lt;=$U$1,O14*K14*(1+$O$6),$U$1*K14),O14*K14*(1+$O$6)),0)</f>
        <v>0</v>
      </c>
      <c r="D14" s="55">
        <f>IF($J$6&gt;2,IF($U$1&lt;&gt;0,IF(O14*(1+$O$6)^2&lt;=$U$1,O14*L14*(1+$O$6)^2,$U$1*L14),O14*L14*(1+$O$6)^2),0)</f>
        <v>0</v>
      </c>
      <c r="E14" s="55">
        <f>IF($J$6&gt;3,IF($U$1&lt;&gt;0,IF(O14*(1+$O$6)^3&lt;=$U$1,O14*M14*(1+$O$6)^3,$U$1*M14),O14*M14*(1+$O$6)^3),0)</f>
        <v>0</v>
      </c>
      <c r="F14" s="55">
        <f>IF($J$6&gt;4,IF($U$1&lt;&gt;0,IF(O14*(1+$O$6)^4&lt;=$U$1,O14*N14*(1+$O$6)^4,$U$1*N14),O14*N14*(1+$O$6)^4),0)</f>
        <v>0</v>
      </c>
      <c r="G14" s="54">
        <f>SUM(B14:F14)</f>
        <v>0</v>
      </c>
      <c r="H14" s="14"/>
      <c r="I14" s="106" t="s">
        <v>26</v>
      </c>
      <c r="J14" s="17">
        <v>0</v>
      </c>
      <c r="K14" s="17">
        <f>IF($J$6&gt;1,J14,0)</f>
        <v>0</v>
      </c>
      <c r="L14" s="17">
        <f>IF($J$6&gt;2,K14,0)</f>
        <v>0</v>
      </c>
      <c r="M14" s="17">
        <f>IF($J$6&gt;3,L14,0)</f>
        <v>0</v>
      </c>
      <c r="N14" s="17">
        <f>IF($J$6&gt;4,M14,0)</f>
        <v>0</v>
      </c>
      <c r="O14" s="145">
        <f>IF(U17="F",IF($U$1&lt;&gt;0,IF(T17&gt;$U$1,$U$1,T17),T17),0)</f>
        <v>0</v>
      </c>
      <c r="P14" s="154">
        <f>SUM(J13:N13)/(ROUNDUP($J$6,0)*12)</f>
        <v>0</v>
      </c>
      <c r="Q14" s="155">
        <f>(SUM(J13:N13)/(CEILING($J$6*12,12)))*12</f>
        <v>0</v>
      </c>
      <c r="T14" s="90"/>
      <c r="V14" s="267"/>
      <c r="X14" s="18"/>
      <c r="Y14"/>
      <c r="Z14"/>
    </row>
    <row r="15" spans="1:26" ht="15.75" hidden="1" customHeight="1" outlineLevel="1" x14ac:dyDescent="0.25">
      <c r="A15" s="481" t="str">
        <f>ROUND(P14*100,2)&amp;"% Annualized Effort, "&amp;ROUND(Q15,2)&amp;" Avg. Academic Months
"&amp;IF(SUM(J16:N16)&gt;0," and "&amp;Q16 &amp;" Avg. Summer Months", "")</f>
        <v xml:space="preserve">0% Annualized Effort, 0 Avg. Academic Months
</v>
      </c>
      <c r="B15" s="55">
        <f>J15*O15</f>
        <v>0</v>
      </c>
      <c r="C15" s="55">
        <f>IF($J$6&gt;1,IF($U$1&lt;&gt;0,IF(O15*(1+$O$6)&lt;=$U$1*0.75,O15*K15*(1+$O$6),$U$1*0.75*K15),O15*K15*(1+$O$6)),0)</f>
        <v>0</v>
      </c>
      <c r="D15" s="55">
        <f>IF($J$6&gt;2,IF($U$1&lt;&gt;0,IF(O15*(1+$O$6)^2&lt;=$U$1*0.75,O15*L15*(1+$O$6)^2,$U$1*0.75*L15),O15*L15*(1+$O$6)^2),0)</f>
        <v>0</v>
      </c>
      <c r="E15" s="55">
        <f>IF($J$6&gt;3,IF($U$1&lt;&gt;0,IF(O15*(1+$O$6)^3&lt;=$U$1*0.75,O15*M15*(1+$O$6)^3,$U$1*0.75*M15),O15*M15*(1+$O$6)^3),0)</f>
        <v>0</v>
      </c>
      <c r="F15" s="55">
        <f>IF($J$6&gt;4,IF($U$1&lt;&gt;0,IF(O15*(1+$O$6)^4&lt;=$U$1*0.75,O15*N15*(1+$O$6)^4,$U$1*0.75*N15),O15*N15*(1+$O$6)^4),0)</f>
        <v>0</v>
      </c>
      <c r="G15" s="54">
        <f>SUM(B15:F15)</f>
        <v>0</v>
      </c>
      <c r="H15" s="14"/>
      <c r="I15" s="106" t="s">
        <v>15</v>
      </c>
      <c r="J15" s="17">
        <v>0</v>
      </c>
      <c r="K15" s="17">
        <f>IF($J$6&gt;1,J15,0)</f>
        <v>0</v>
      </c>
      <c r="L15" s="17">
        <f>IF($J$6&gt;2,K15,0)</f>
        <v>0</v>
      </c>
      <c r="M15" s="17">
        <f>IF($J$6&gt;3,L15,0)</f>
        <v>0</v>
      </c>
      <c r="N15" s="17">
        <f>IF($J$6&gt;4,M15,0)</f>
        <v>0</v>
      </c>
      <c r="O15" s="145">
        <f>IF(U17="A",IF($U$1&lt;&gt;0,IF(T17&gt;($U$1/12*9),($U$1/12*9),T17),T17),0)</f>
        <v>0</v>
      </c>
      <c r="P15" s="211"/>
      <c r="Q15" s="156">
        <f>((SUM(J13:N13)-SUM(J16:N16))/(CEILING($J$6*9,9)))*9</f>
        <v>0</v>
      </c>
      <c r="R15" s="12"/>
      <c r="S15" s="12"/>
      <c r="T15" s="90"/>
      <c r="V15" s="267"/>
      <c r="Y15"/>
      <c r="Z15"/>
    </row>
    <row r="16" spans="1:26" hidden="1" outlineLevel="1" x14ac:dyDescent="0.25">
      <c r="A16" s="481"/>
      <c r="B16" s="55">
        <f>J16/3*O16</f>
        <v>0</v>
      </c>
      <c r="C16" s="55">
        <f>IF($J$6&gt;1,IF($U$1&lt;&gt;0,IF(O16*(1+$O$6)&lt;=$U$1*0.25,O16*K16/3*(1+$O$6),$U$1*0.25*K16/3),O16*K16/3*(1+$O$6)),0)</f>
        <v>0</v>
      </c>
      <c r="D16" s="55">
        <f>IF($J$6&gt;2,IF($U$1&lt;&gt;0,IF(O16*(1+$O$6)^2&lt;=$U$1*0.25,O16*L16/3*(1+$O$6)^2,$U$1*0.25*L16/3),O16*L16/3*(1+$O$6)^2),0)</f>
        <v>0</v>
      </c>
      <c r="E16" s="55">
        <f>IF($J$6&gt;3,IF($U$1&lt;&gt;0,IF(O16*(1+$O$6)^3&lt;=$U$1*0.25,O16*M16/3*(1+$O$6)^3,$U$1*0.25*M16/3),O16*M16/3*(1+$O$6)^3),0)</f>
        <v>0</v>
      </c>
      <c r="F16" s="55">
        <f>IF($J$6&gt;4,IF($U$1&lt;&gt;0,IF(O16*(1+$O$6)^4&lt;=$U$1*0.25,O16*N16/3*(1+$O$6)^4,$U$1*0.25*N16/3),O16*N16/3*(1+$O$6)^4),0)</f>
        <v>0</v>
      </c>
      <c r="G16" s="54">
        <f>SUM(B16:F16)</f>
        <v>0</v>
      </c>
      <c r="H16" s="14"/>
      <c r="I16" s="106" t="s">
        <v>17</v>
      </c>
      <c r="J16" s="16">
        <v>0</v>
      </c>
      <c r="K16" s="16">
        <f>IF($J$6&gt;1,J16,0)</f>
        <v>0</v>
      </c>
      <c r="L16" s="16">
        <f>IF($J$6&gt;2,K16,0)</f>
        <v>0</v>
      </c>
      <c r="M16" s="16">
        <f>IF($J$6&gt;3,L16,0)</f>
        <v>0</v>
      </c>
      <c r="N16" s="16">
        <f>IF($J$6&gt;4,M16,0)</f>
        <v>0</v>
      </c>
      <c r="O16" s="145">
        <f>IF(U17="A",IF($U$1&lt;&gt;0,IF(T17*0.000731*456&gt;($U$1/12*3),($U$1/12*3),T17*0.000731*456),T17*0.000731*456),0)</f>
        <v>0</v>
      </c>
      <c r="P16" s="157"/>
      <c r="Q16" s="157">
        <f>((SUM(J13:N13)-SUM(J15:N15)*9)/(CEILING($J$6*3,3)))*3</f>
        <v>0</v>
      </c>
      <c r="R16" s="12"/>
      <c r="S16" s="12"/>
      <c r="V16" s="267"/>
      <c r="Y16"/>
      <c r="Z16"/>
    </row>
    <row r="17" spans="1:26" hidden="1" outlineLevel="1" x14ac:dyDescent="0.25">
      <c r="A17" s="19"/>
      <c r="B17" s="55"/>
      <c r="C17" s="55"/>
      <c r="D17" s="56"/>
      <c r="E17" s="56"/>
      <c r="F17" s="56"/>
      <c r="G17" s="57"/>
      <c r="H17" s="20"/>
      <c r="I17" s="169" t="s">
        <v>109</v>
      </c>
      <c r="J17" s="180">
        <f>SUM(B14:B16)*$V17</f>
        <v>0</v>
      </c>
      <c r="K17" s="180">
        <f>SUM(C14:C16)*$V17</f>
        <v>0</v>
      </c>
      <c r="L17" s="180">
        <f>SUM(D14:D16)*$V17</f>
        <v>0</v>
      </c>
      <c r="M17" s="180">
        <f>SUM(E14:E16)*$V17</f>
        <v>0</v>
      </c>
      <c r="N17" s="180">
        <f>SUM(F14:F16)*$V17</f>
        <v>0</v>
      </c>
      <c r="O17" s="22"/>
      <c r="P17" s="157"/>
      <c r="Q17" s="157"/>
      <c r="R17" s="12"/>
      <c r="S17" s="12"/>
      <c r="T17" s="171"/>
      <c r="U17" s="172"/>
      <c r="V17" s="273"/>
      <c r="W17" s="173"/>
      <c r="Y17"/>
      <c r="Z17"/>
    </row>
    <row r="18" spans="1:26" hidden="1" outlineLevel="1" x14ac:dyDescent="0.25">
      <c r="A18" s="23" t="s">
        <v>84</v>
      </c>
      <c r="B18" s="55"/>
      <c r="C18" s="56"/>
      <c r="D18" s="56"/>
      <c r="E18" s="56"/>
      <c r="F18" s="56"/>
      <c r="G18" s="54"/>
      <c r="I18" s="106" t="s">
        <v>128</v>
      </c>
      <c r="J18" s="179">
        <f>IF(U22="F",J19*12,SUM(J20*9,J21))</f>
        <v>0</v>
      </c>
      <c r="K18" s="179">
        <f>IF(U22="F",K19*12,SUM(K20*9,K21))</f>
        <v>0</v>
      </c>
      <c r="L18" s="179">
        <f>IF(U22="F",L19*12,SUM(L20*9,L21))</f>
        <v>0</v>
      </c>
      <c r="M18" s="179">
        <f>IF(U22="F",M19*12,SUM(M20*9,M21))</f>
        <v>0</v>
      </c>
      <c r="N18" s="179">
        <f>IF(U22="F",N19*12,SUM(N20*9,N21))</f>
        <v>0</v>
      </c>
      <c r="O18" s="49" t="s">
        <v>51</v>
      </c>
      <c r="P18" s="153" t="s">
        <v>126</v>
      </c>
      <c r="Q18" s="153" t="s">
        <v>127</v>
      </c>
      <c r="R18" s="11"/>
      <c r="S18" s="12"/>
      <c r="T18" s="90"/>
      <c r="V18" s="267"/>
      <c r="Y18"/>
      <c r="Z18"/>
    </row>
    <row r="19" spans="1:26" hidden="1" outlineLevel="1" x14ac:dyDescent="0.25">
      <c r="A19" s="13" t="str">
        <f>ROUND(P19*100, 2)&amp;"% Avg. Fiscal Effort, "&amp;ROUND(Q19, 2)&amp;" Avg. Calendar Months"</f>
        <v>0% Avg. Fiscal Effort, 0 Avg. Calendar Months</v>
      </c>
      <c r="B19" s="55">
        <f>O19*J19</f>
        <v>0</v>
      </c>
      <c r="C19" s="55">
        <f>IF($J$6&gt;1,IF($U$1&lt;&gt;0,IF(O19*(1+$O$6)&lt;=$U$1,O19*K19*(1+$O$6),$U$1*K19),O19*K19*(1+$O$6)),0)</f>
        <v>0</v>
      </c>
      <c r="D19" s="55">
        <f>IF($J$6&gt;2,IF($U$1&lt;&gt;0,IF(O19*(1+$O$6)^2&lt;=$U$1,O19*L19*(1+$O$6)^2,$U$1*L19),O19*L19*(1+$O$6)^2),0)</f>
        <v>0</v>
      </c>
      <c r="E19" s="55">
        <f>IF($J$6&gt;3,IF($U$1&lt;&gt;0,IF(O19*(1+$O$6)^3&lt;=$U$1,O19*M19*(1+$O$6)^3,$U$1*M19),O19*M19*(1+$O$6)^3),0)</f>
        <v>0</v>
      </c>
      <c r="F19" s="55">
        <f>IF($J$6&gt;4,IF($U$1&lt;&gt;0,IF(O19*(1+$O$6)^4&lt;=$U$1,O19*N19*(1+$O$6)^4,$U$1*N19),O19*N19*(1+$O$6)^4),0)</f>
        <v>0</v>
      </c>
      <c r="G19" s="54">
        <f>SUM(B19:F19)</f>
        <v>0</v>
      </c>
      <c r="H19" s="14"/>
      <c r="I19" s="106" t="s">
        <v>26</v>
      </c>
      <c r="J19" s="17">
        <v>0</v>
      </c>
      <c r="K19" s="17">
        <f>IF($J$6&gt;1,J19,0)</f>
        <v>0</v>
      </c>
      <c r="L19" s="17">
        <f>IF($J$6&gt;2,K19,0)</f>
        <v>0</v>
      </c>
      <c r="M19" s="17">
        <f>IF($J$6&gt;3,L19,0)</f>
        <v>0</v>
      </c>
      <c r="N19" s="17">
        <f>IF($J$6&gt;4,M19,0)</f>
        <v>0</v>
      </c>
      <c r="O19" s="145">
        <f>IF(U22="F",IF($U$1&lt;&gt;0,IF(T22&gt;$U$1,$U$1,T22),T22),0)</f>
        <v>0</v>
      </c>
      <c r="P19" s="154">
        <f>SUM(J18:N18)/(ROUNDUP($J$6,0)*12)</f>
        <v>0</v>
      </c>
      <c r="Q19" s="155">
        <f>(SUM(J18:N18)/(CEILING($J$6*12,12)))*12</f>
        <v>0</v>
      </c>
      <c r="T19" s="90"/>
      <c r="V19" s="267"/>
      <c r="X19" s="18"/>
    </row>
    <row r="20" spans="1:26" hidden="1" outlineLevel="1" x14ac:dyDescent="0.25">
      <c r="A20" s="481" t="str">
        <f>ROUND(P19*100,2)&amp;"% Annualized Effort, "&amp;ROUND(Q20,2)&amp;" Avg. Academic Months
"&amp;IF(SUM(J21:N21)&gt;0," and "&amp;Q21 &amp;" Avg. Summer Months", "")</f>
        <v xml:space="preserve">0% Annualized Effort, 0 Avg. Academic Months
</v>
      </c>
      <c r="B20" s="55">
        <f>J20*O20</f>
        <v>0</v>
      </c>
      <c r="C20" s="55">
        <f>IF($J$6&gt;1,IF($U$1&lt;&gt;0,IF(O20*(1+$O$6)&lt;=$U$1*0.75,O20*K20*(1+$O$6),$U$1*0.75*K20),O20*K20*(1+$O$6)),0)</f>
        <v>0</v>
      </c>
      <c r="D20" s="55">
        <f>IF($J$6&gt;2,IF($U$1&lt;&gt;0,IF(O20*(1+$O$6)^2&lt;=$U$1*0.75,O20*L20*(1+$O$6)^2,$U$1*0.75*L20),O20*L20*(1+$O$6)^2),0)</f>
        <v>0</v>
      </c>
      <c r="E20" s="55">
        <f>IF($J$6&gt;3,IF($U$1&lt;&gt;0,IF(O20*(1+$O$6)^3&lt;=$U$1*0.75,O20*M20*(1+$O$6)^3,$U$1*0.75*M20),O20*M20*(1+$O$6)^3),0)</f>
        <v>0</v>
      </c>
      <c r="F20" s="55">
        <f>IF($J$6&gt;4,IF($U$1&lt;&gt;0,IF(O20*(1+$O$6)^4&lt;=$U$1*0.75,O20*N20*(1+$O$6)^4,$U$1*0.75*N20),O20*N20*(1+$O$6)^4),0)</f>
        <v>0</v>
      </c>
      <c r="G20" s="54">
        <f>SUM(B20:F20)</f>
        <v>0</v>
      </c>
      <c r="H20" s="14"/>
      <c r="I20" s="106" t="s">
        <v>15</v>
      </c>
      <c r="J20" s="17">
        <v>0</v>
      </c>
      <c r="K20" s="17">
        <f>IF($J$6&gt;1,J20,0)</f>
        <v>0</v>
      </c>
      <c r="L20" s="17">
        <f>IF($J$6&gt;2,K20,0)</f>
        <v>0</v>
      </c>
      <c r="M20" s="17">
        <f>IF($J$6&gt;3,L20,0)</f>
        <v>0</v>
      </c>
      <c r="N20" s="17">
        <f>IF($J$6&gt;4,M20,0)</f>
        <v>0</v>
      </c>
      <c r="O20" s="145">
        <f>IF(U22="A",IF($U$1&lt;&gt;0,IF(T22&gt;($U$1/12*9),($U$1/12*9),T22),T22),0)</f>
        <v>0</v>
      </c>
      <c r="P20" s="211"/>
      <c r="Q20" s="156">
        <f>((SUM(J18:N18)-SUM(J21:N21))/(CEILING($J$6*9,9)))*9</f>
        <v>0</v>
      </c>
      <c r="R20" s="12"/>
      <c r="S20" s="12"/>
      <c r="T20" s="90"/>
      <c r="V20" s="267"/>
    </row>
    <row r="21" spans="1:26" hidden="1" outlineLevel="1" x14ac:dyDescent="0.25">
      <c r="A21" s="481"/>
      <c r="B21" s="55">
        <f>J21/3*O21</f>
        <v>0</v>
      </c>
      <c r="C21" s="55">
        <f>IF($J$6&gt;1,IF($U$1&lt;&gt;0,IF(O21*(1+$O$6)&lt;=$U$1*0.25,O21*K21/3*(1+$O$6),$U$1*0.25*K21/3),O21*K21/3*(1+$O$6)),0)</f>
        <v>0</v>
      </c>
      <c r="D21" s="55">
        <f>IF($J$6&gt;2,IF($U$1&lt;&gt;0,IF(O21*(1+$O$6)^2&lt;=$U$1*0.25,O21*L21/3*(1+$O$6)^2,$U$1*0.25*L21/3),O21*L21/3*(1+$O$6)^2),0)</f>
        <v>0</v>
      </c>
      <c r="E21" s="55">
        <f>IF($J$6&gt;3,IF($U$1&lt;&gt;0,IF(O21*(1+$O$6)^3&lt;=$U$1*0.25,O21*M21/3*(1+$O$6)^3,$U$1*0.25*M21/3),O21*M21/3*(1+$O$6)^3),0)</f>
        <v>0</v>
      </c>
      <c r="F21" s="55">
        <f>IF($J$6&gt;4,IF($U$1&lt;&gt;0,IF(O21*(1+$O$6)^4&lt;=$U$1*0.25,O21*N21/3*(1+$O$6)^4,$U$1*0.25*N21/3),O21*N21/3*(1+$O$6)^4),0)</f>
        <v>0</v>
      </c>
      <c r="G21" s="54">
        <f>SUM(B21:F21)</f>
        <v>0</v>
      </c>
      <c r="H21" s="14"/>
      <c r="I21" s="106" t="s">
        <v>17</v>
      </c>
      <c r="J21" s="16">
        <v>0</v>
      </c>
      <c r="K21" s="16">
        <f>IF($J$6&gt;1,J21,0)</f>
        <v>0</v>
      </c>
      <c r="L21" s="16">
        <f>IF($J$6&gt;2,K21,0)</f>
        <v>0</v>
      </c>
      <c r="M21" s="16">
        <f>IF($J$6&gt;3,L21,0)</f>
        <v>0</v>
      </c>
      <c r="N21" s="16">
        <f>IF($J$6&gt;4,M21,0)</f>
        <v>0</v>
      </c>
      <c r="O21" s="145">
        <f>IF(U22="A",IF($U$1&lt;&gt;0,IF(T22*0.000731*456&gt;($U$1/12*3),($U$1/12*3),T22*0.000731*456),T22*0.000731*456),0)</f>
        <v>0</v>
      </c>
      <c r="P21" s="157"/>
      <c r="Q21" s="157">
        <f>((SUM(J18:N18)-SUM(J20:N20)*9)/(CEILING($J$6*3,3)))*3</f>
        <v>0</v>
      </c>
      <c r="R21" s="12"/>
      <c r="S21" s="12"/>
      <c r="V21" s="267"/>
    </row>
    <row r="22" spans="1:26" hidden="1" outlineLevel="1" x14ac:dyDescent="0.25">
      <c r="A22" s="19"/>
      <c r="B22" s="55"/>
      <c r="C22" s="55"/>
      <c r="D22" s="56"/>
      <c r="E22" s="56"/>
      <c r="F22" s="56"/>
      <c r="G22" s="57"/>
      <c r="H22" s="20"/>
      <c r="I22" s="169" t="s">
        <v>109</v>
      </c>
      <c r="J22" s="180">
        <f>SUM(B19:B21)*$V22</f>
        <v>0</v>
      </c>
      <c r="K22" s="180">
        <f>SUM(C19:C21)*$V22</f>
        <v>0</v>
      </c>
      <c r="L22" s="180">
        <f>SUM(D19:D21)*$V22</f>
        <v>0</v>
      </c>
      <c r="M22" s="180">
        <f>SUM(E19:E21)*$V22</f>
        <v>0</v>
      </c>
      <c r="N22" s="180">
        <f>SUM(F19:F21)*$V22</f>
        <v>0</v>
      </c>
      <c r="O22" s="22"/>
      <c r="P22" s="157"/>
      <c r="Q22" s="157"/>
      <c r="R22" s="12"/>
      <c r="S22" s="12"/>
      <c r="T22" s="171"/>
      <c r="U22" s="172"/>
      <c r="V22" s="273"/>
      <c r="W22" s="173"/>
    </row>
    <row r="23" spans="1:26" hidden="1" outlineLevel="1" x14ac:dyDescent="0.25">
      <c r="A23" s="23" t="s">
        <v>84</v>
      </c>
      <c r="B23" s="55"/>
      <c r="C23" s="56"/>
      <c r="D23" s="56"/>
      <c r="E23" s="56"/>
      <c r="F23" s="56"/>
      <c r="G23" s="54"/>
      <c r="I23" s="106" t="s">
        <v>128</v>
      </c>
      <c r="J23" s="179">
        <f>IF(U27="F",J24*12,SUM(J25*9,J26))</f>
        <v>0</v>
      </c>
      <c r="K23" s="179">
        <f>IF(U27="F",K24*12,SUM(K25*9,K26))</f>
        <v>0</v>
      </c>
      <c r="L23" s="179">
        <f>IF(U27="F",L24*12,SUM(L25*9,L26))</f>
        <v>0</v>
      </c>
      <c r="M23" s="179">
        <f>IF(U27="F",M24*12,SUM(M25*9,M26))</f>
        <v>0</v>
      </c>
      <c r="N23" s="179">
        <f>IF(U27="F",N24*12,SUM(N25*9,N26))</f>
        <v>0</v>
      </c>
      <c r="O23" s="49" t="s">
        <v>51</v>
      </c>
      <c r="P23" s="153" t="s">
        <v>126</v>
      </c>
      <c r="Q23" s="153" t="s">
        <v>127</v>
      </c>
      <c r="R23" s="11"/>
      <c r="S23" s="12"/>
      <c r="T23" s="90"/>
      <c r="V23" s="267"/>
    </row>
    <row r="24" spans="1:26" hidden="1" outlineLevel="1" x14ac:dyDescent="0.25">
      <c r="A24" s="13" t="str">
        <f>ROUND(P24*100, 2)&amp;"% Avg. Fiscal Effort, "&amp;ROUND(Q24, 2)&amp;" Avg. Calendar Months"</f>
        <v>0% Avg. Fiscal Effort, 0 Avg. Calendar Months</v>
      </c>
      <c r="B24" s="55">
        <f>O24*J24</f>
        <v>0</v>
      </c>
      <c r="C24" s="55">
        <f>IF($J$6&gt;1,IF($U$1&lt;&gt;0,IF(O24*(1+$O$6)&lt;=$U$1,O24*K24*(1+$O$6),$U$1*K24),O24*K24*(1+$O$6)),0)</f>
        <v>0</v>
      </c>
      <c r="D24" s="55">
        <f>IF($J$6&gt;2,IF($U$1&lt;&gt;0,IF(O24*(1+$O$6)^2&lt;=$U$1,O24*L24*(1+$O$6)^2,$U$1*L24),O24*L24*(1+$O$6)^2),0)</f>
        <v>0</v>
      </c>
      <c r="E24" s="55">
        <f>IF($J$6&gt;3,IF($U$1&lt;&gt;0,IF(O24*(1+$O$6)^3&lt;=$U$1,O24*M24*(1+$O$6)^3,$U$1*M24),O24*M24*(1+$O$6)^3),0)</f>
        <v>0</v>
      </c>
      <c r="F24" s="55">
        <f>IF($J$6&gt;4,IF($U$1&lt;&gt;0,IF(O24*(1+$O$6)^4&lt;=$U$1,O24*N24*(1+$O$6)^4,$U$1*N24),O24*N24*(1+$O$6)^4),0)</f>
        <v>0</v>
      </c>
      <c r="G24" s="54">
        <f>SUM(B24:F24)</f>
        <v>0</v>
      </c>
      <c r="H24" s="14"/>
      <c r="I24" s="106" t="s">
        <v>26</v>
      </c>
      <c r="J24" s="17">
        <v>0</v>
      </c>
      <c r="K24" s="17">
        <f>IF($J$6&gt;1,J24,0)</f>
        <v>0</v>
      </c>
      <c r="L24" s="17">
        <f>IF($J$6&gt;2,K24,0)</f>
        <v>0</v>
      </c>
      <c r="M24" s="17">
        <f>IF($J$6&gt;3,L24,0)</f>
        <v>0</v>
      </c>
      <c r="N24" s="17">
        <f>IF($J$6&gt;4,M24,0)</f>
        <v>0</v>
      </c>
      <c r="O24" s="145">
        <f>IF(U27="F",IF($U$1&lt;&gt;0,IF(T27&gt;$U$1,$U$1,T27),T27),0)</f>
        <v>0</v>
      </c>
      <c r="P24" s="154">
        <f>SUM(J23:N23)/(ROUNDUP($J$6,0)*12)</f>
        <v>0</v>
      </c>
      <c r="Q24" s="155">
        <f>(SUM(J23:N23)/(CEILING($J$6*12,12)))*12</f>
        <v>0</v>
      </c>
      <c r="T24" s="90"/>
      <c r="V24" s="267"/>
      <c r="X24" s="18"/>
    </row>
    <row r="25" spans="1:26" hidden="1" outlineLevel="1" x14ac:dyDescent="0.25">
      <c r="A25" s="481" t="str">
        <f>ROUND(P24*100,2)&amp;"% Annualized Effort, "&amp;ROUND(Q25,2)&amp;" Avg. Academic Months
"&amp;IF(SUM(J26:N26)&gt;0," and "&amp;Q26 &amp;" Avg. Summer Months", "")</f>
        <v xml:space="preserve">0% Annualized Effort, 0 Avg. Academic Months
</v>
      </c>
      <c r="B25" s="55">
        <f>J25*O25</f>
        <v>0</v>
      </c>
      <c r="C25" s="55">
        <f>IF($J$6&gt;1,IF($U$1&lt;&gt;0,IF(O25*(1+$O$6)&lt;=$U$1*0.75,O25*K25*(1+$O$6),$U$1*0.75*K25),O25*K25*(1+$O$6)),0)</f>
        <v>0</v>
      </c>
      <c r="D25" s="55">
        <f>IF($J$6&gt;2,IF($U$1&lt;&gt;0,IF(O25*(1+$O$6)^2&lt;=$U$1*0.75,O25*L25*(1+$O$6)^2,$U$1*0.75*L25),O25*L25*(1+$O$6)^2),0)</f>
        <v>0</v>
      </c>
      <c r="E25" s="55">
        <f>IF($J$6&gt;3,IF($U$1&lt;&gt;0,IF(O25*(1+$O$6)^3&lt;=$U$1*0.75,O25*M25*(1+$O$6)^3,$U$1*0.75*M25),O25*M25*(1+$O$6)^3),0)</f>
        <v>0</v>
      </c>
      <c r="F25" s="55">
        <f>IF($J$6&gt;4,IF($U$1&lt;&gt;0,IF(O25*(1+$O$6)^4&lt;=$U$1*0.75,O25*N25*(1+$O$6)^4,$U$1*0.75*N25),O25*N25*(1+$O$6)^4),0)</f>
        <v>0</v>
      </c>
      <c r="G25" s="54">
        <f>SUM(B25:F25)</f>
        <v>0</v>
      </c>
      <c r="H25" s="14"/>
      <c r="I25" s="106" t="s">
        <v>15</v>
      </c>
      <c r="J25" s="17">
        <v>0</v>
      </c>
      <c r="K25" s="17">
        <f>IF($J$6&gt;1,J25,0)</f>
        <v>0</v>
      </c>
      <c r="L25" s="17">
        <f>IF($J$6&gt;2,K25,0)</f>
        <v>0</v>
      </c>
      <c r="M25" s="17">
        <f>IF($J$6&gt;3,L25,0)</f>
        <v>0</v>
      </c>
      <c r="N25" s="17">
        <f>IF($J$6&gt;4,M25,0)</f>
        <v>0</v>
      </c>
      <c r="O25" s="145">
        <f>IF(U27="A",IF($U$1&lt;&gt;0,IF(T27&gt;($U$1/12*9),($U$1/12*9),T27),T27),0)</f>
        <v>0</v>
      </c>
      <c r="P25" s="211"/>
      <c r="Q25" s="156">
        <f>((SUM(J23:N23)-SUM(J26:N26))/(CEILING($J$6*9,9)))*9</f>
        <v>0</v>
      </c>
      <c r="R25" s="12"/>
      <c r="S25" s="12"/>
      <c r="T25" s="90"/>
      <c r="V25" s="267"/>
    </row>
    <row r="26" spans="1:26" hidden="1" outlineLevel="1" x14ac:dyDescent="0.25">
      <c r="A26" s="481"/>
      <c r="B26" s="55">
        <f>J26/3*O26</f>
        <v>0</v>
      </c>
      <c r="C26" s="55">
        <f>IF($J$6&gt;1,IF($U$1&lt;&gt;0,IF(O26*(1+$O$6)&lt;=$U$1*0.25,O26*K26/3*(1+$O$6),$U$1*0.25*K26/3),O26*K26/3*(1+$O$6)),0)</f>
        <v>0</v>
      </c>
      <c r="D26" s="55">
        <f>IF($J$6&gt;2,IF($U$1&lt;&gt;0,IF(O26*(1+$O$6)^2&lt;=$U$1*0.25,O26*L26/3*(1+$O$6)^2,$U$1*0.25*L26/3),O26*L26/3*(1+$O$6)^2),0)</f>
        <v>0</v>
      </c>
      <c r="E26" s="55">
        <f>IF($J$6&gt;3,IF($U$1&lt;&gt;0,IF(O26*(1+$O$6)^3&lt;=$U$1*0.25,O26*M26/3*(1+$O$6)^3,$U$1*0.25*M26/3),O26*M26/3*(1+$O$6)^3),0)</f>
        <v>0</v>
      </c>
      <c r="F26" s="55">
        <f>IF($J$6&gt;4,IF($U$1&lt;&gt;0,IF(O26*(1+$O$6)^4&lt;=$U$1*0.25,O26*N26/3*(1+$O$6)^4,$U$1*0.25*N26/3),O26*N26/3*(1+$O$6)^4),0)</f>
        <v>0</v>
      </c>
      <c r="G26" s="54">
        <f>SUM(B26:F26)</f>
        <v>0</v>
      </c>
      <c r="H26" s="14"/>
      <c r="I26" s="106" t="s">
        <v>17</v>
      </c>
      <c r="J26" s="16">
        <v>0</v>
      </c>
      <c r="K26" s="16">
        <f>IF($J$6&gt;1,J26,0)</f>
        <v>0</v>
      </c>
      <c r="L26" s="16">
        <f>IF($J$6&gt;2,K26,0)</f>
        <v>0</v>
      </c>
      <c r="M26" s="16">
        <f>IF($J$6&gt;3,L26,0)</f>
        <v>0</v>
      </c>
      <c r="N26" s="16">
        <f>IF($J$6&gt;4,M26,0)</f>
        <v>0</v>
      </c>
      <c r="O26" s="145">
        <f>IF(U27="A",IF($U$1&lt;&gt;0,IF(T27*0.000731*456&gt;($U$1/12*3),($U$1/12*3),T27*0.000731*456),T27*0.000731*456),0)</f>
        <v>0</v>
      </c>
      <c r="P26" s="157"/>
      <c r="Q26" s="157">
        <f>((SUM(J23:N23)-SUM(J25:N25)*9)/(CEILING($J$6*3,3)))*3</f>
        <v>0</v>
      </c>
      <c r="R26" s="12"/>
      <c r="S26" s="12"/>
      <c r="V26" s="267"/>
    </row>
    <row r="27" spans="1:26" hidden="1" outlineLevel="1" x14ac:dyDescent="0.25">
      <c r="A27" s="19"/>
      <c r="B27" s="55"/>
      <c r="C27" s="55"/>
      <c r="D27" s="56"/>
      <c r="E27" s="56"/>
      <c r="F27" s="56"/>
      <c r="G27" s="57"/>
      <c r="H27" s="20"/>
      <c r="I27" s="169" t="s">
        <v>109</v>
      </c>
      <c r="J27" s="180">
        <f>SUM(B24:B26)*$V27</f>
        <v>0</v>
      </c>
      <c r="K27" s="180">
        <f>SUM(C24:C26)*$V27</f>
        <v>0</v>
      </c>
      <c r="L27" s="180">
        <f>SUM(D24:D26)*$V27</f>
        <v>0</v>
      </c>
      <c r="M27" s="180">
        <f>SUM(E24:E26)*$V27</f>
        <v>0</v>
      </c>
      <c r="N27" s="180">
        <f>SUM(F24:F26)*$V27</f>
        <v>0</v>
      </c>
      <c r="O27" s="22"/>
      <c r="P27" s="157"/>
      <c r="Q27" s="157"/>
      <c r="R27" s="12"/>
      <c r="S27" s="12"/>
      <c r="T27" s="171"/>
      <c r="U27" s="172"/>
      <c r="V27" s="273"/>
      <c r="W27" s="173"/>
    </row>
    <row r="28" spans="1:26" hidden="1" outlineLevel="1" x14ac:dyDescent="0.25">
      <c r="A28" s="23" t="s">
        <v>84</v>
      </c>
      <c r="B28" s="55"/>
      <c r="C28" s="56"/>
      <c r="D28" s="56"/>
      <c r="E28" s="56"/>
      <c r="F28" s="56"/>
      <c r="G28" s="54"/>
      <c r="I28" s="106" t="s">
        <v>128</v>
      </c>
      <c r="J28" s="179">
        <f>IF(U32="F",J29*12,SUM(J30*9,J31))</f>
        <v>0</v>
      </c>
      <c r="K28" s="179">
        <f>IF(U32="F",K29*12,SUM(K30*9,K31))</f>
        <v>0</v>
      </c>
      <c r="L28" s="179">
        <f>IF(U32="F",L29*12,SUM(L30*9,L31))</f>
        <v>0</v>
      </c>
      <c r="M28" s="179">
        <f>IF(U32="F",M29*12,SUM(M30*9,M31))</f>
        <v>0</v>
      </c>
      <c r="N28" s="179">
        <f>IF(U32="F",N29*12,SUM(N30*9,N31))</f>
        <v>0</v>
      </c>
      <c r="O28" s="49" t="s">
        <v>51</v>
      </c>
      <c r="P28" s="153" t="s">
        <v>126</v>
      </c>
      <c r="Q28" s="153" t="s">
        <v>127</v>
      </c>
      <c r="R28" s="11"/>
      <c r="S28" s="12"/>
      <c r="T28" s="90"/>
      <c r="V28" s="267"/>
    </row>
    <row r="29" spans="1:26" hidden="1" outlineLevel="1" x14ac:dyDescent="0.25">
      <c r="A29" s="13" t="str">
        <f>ROUND(P29*100, 2)&amp;"% Avg. Fiscal Effort, "&amp;ROUND(Q29, 2)&amp;" Avg. Calendar Months"</f>
        <v>0% Avg. Fiscal Effort, 0 Avg. Calendar Months</v>
      </c>
      <c r="B29" s="55">
        <f>O29*J29</f>
        <v>0</v>
      </c>
      <c r="C29" s="55">
        <f>IF($J$6&gt;1,IF($U$1&lt;&gt;0,IF(O29*(1+$O$6)&lt;=$U$1,O29*K29*(1+$O$6),$U$1*K29),O29*K29*(1+$O$6)),0)</f>
        <v>0</v>
      </c>
      <c r="D29" s="55">
        <f>IF($J$6&gt;2,IF($U$1&lt;&gt;0,IF(O29*(1+$O$6)^2&lt;=$U$1,O29*L29*(1+$O$6)^2,$U$1*L29),O29*L29*(1+$O$6)^2),0)</f>
        <v>0</v>
      </c>
      <c r="E29" s="55">
        <f>IF($J$6&gt;3,IF($U$1&lt;&gt;0,IF(O29*(1+$O$6)^3&lt;=$U$1,O29*M29*(1+$O$6)^3,$U$1*M29),O29*M29*(1+$O$6)^3),0)</f>
        <v>0</v>
      </c>
      <c r="F29" s="55">
        <f>IF($J$6&gt;4,IF($U$1&lt;&gt;0,IF(O29*(1+$O$6)^4&lt;=$U$1,O29*N29*(1+$O$6)^4,$U$1*N29),O29*N29*(1+$O$6)^4),0)</f>
        <v>0</v>
      </c>
      <c r="G29" s="54">
        <f>SUM(B29:F29)</f>
        <v>0</v>
      </c>
      <c r="H29" s="14"/>
      <c r="I29" s="106" t="s">
        <v>26</v>
      </c>
      <c r="J29" s="17">
        <v>0</v>
      </c>
      <c r="K29" s="17">
        <f>IF($J$6&gt;1,J29,0)</f>
        <v>0</v>
      </c>
      <c r="L29" s="17">
        <f>IF($J$6&gt;2,K29,0)</f>
        <v>0</v>
      </c>
      <c r="M29" s="17">
        <f>IF($J$6&gt;3,L29,0)</f>
        <v>0</v>
      </c>
      <c r="N29" s="17">
        <f>IF($J$6&gt;4,M29,0)</f>
        <v>0</v>
      </c>
      <c r="O29" s="145">
        <f>IF(U32="F",IF($U$1&lt;&gt;0,IF(T32&gt;$U$1,$U$1,T32),T32),0)</f>
        <v>0</v>
      </c>
      <c r="P29" s="154">
        <f>SUM(J28:N28)/(ROUNDUP($J$6,0)*12)</f>
        <v>0</v>
      </c>
      <c r="Q29" s="155">
        <f>(SUM(J28:N28)/(CEILING($J$6*12,12)))*12</f>
        <v>0</v>
      </c>
      <c r="T29" s="90"/>
      <c r="V29" s="267"/>
      <c r="X29" s="18"/>
    </row>
    <row r="30" spans="1:26" hidden="1" outlineLevel="1" x14ac:dyDescent="0.25">
      <c r="A30" s="481" t="str">
        <f>ROUND(P29*100,2)&amp;"% Annualized Effort, "&amp;ROUND(Q30,2)&amp;" Avg. Academic Months
"&amp;IF(SUM(J31:N31)&gt;0," and "&amp;Q31 &amp;" Avg. Summer Months", "")</f>
        <v xml:space="preserve">0% Annualized Effort, 0 Avg. Academic Months
</v>
      </c>
      <c r="B30" s="55">
        <f>J30*O30</f>
        <v>0</v>
      </c>
      <c r="C30" s="55">
        <f>IF($J$6&gt;1,IF($U$1&lt;&gt;0,IF(O30*(1+$O$6)&lt;=$U$1*0.75,O30*K30*(1+$O$6),$U$1*0.75*K30),O30*K30*(1+$O$6)),0)</f>
        <v>0</v>
      </c>
      <c r="D30" s="55">
        <f>IF($J$6&gt;2,IF($U$1&lt;&gt;0,IF(O30*(1+$O$6)^2&lt;=$U$1*0.75,O30*L30*(1+$O$6)^2,$U$1*0.75*L30),O30*L30*(1+$O$6)^2),0)</f>
        <v>0</v>
      </c>
      <c r="E30" s="55">
        <f>IF($J$6&gt;3,IF($U$1&lt;&gt;0,IF(O30*(1+$O$6)^3&lt;=$U$1*0.75,O30*M30*(1+$O$6)^3,$U$1*0.75*M30),O30*M30*(1+$O$6)^3),0)</f>
        <v>0</v>
      </c>
      <c r="F30" s="55">
        <f>IF($J$6&gt;4,IF($U$1&lt;&gt;0,IF(O30*(1+$O$6)^4&lt;=$U$1*0.75,O30*N30*(1+$O$6)^4,$U$1*0.75*N30),O30*N30*(1+$O$6)^4),0)</f>
        <v>0</v>
      </c>
      <c r="G30" s="54">
        <f>SUM(B30:F30)</f>
        <v>0</v>
      </c>
      <c r="H30" s="14"/>
      <c r="I30" s="106" t="s">
        <v>15</v>
      </c>
      <c r="J30" s="17">
        <v>0</v>
      </c>
      <c r="K30" s="17">
        <f>IF($J$6&gt;1,J30,0)</f>
        <v>0</v>
      </c>
      <c r="L30" s="17">
        <f>IF($J$6&gt;2,K30,0)</f>
        <v>0</v>
      </c>
      <c r="M30" s="17">
        <f>IF($J$6&gt;3,L30,0)</f>
        <v>0</v>
      </c>
      <c r="N30" s="17">
        <f>IF($J$6&gt;4,M30,0)</f>
        <v>0</v>
      </c>
      <c r="O30" s="145">
        <f>IF(U32="A",IF($U$1&lt;&gt;0,IF(T32&gt;($U$1/12*9),($U$1/12*9),T32),T32),0)</f>
        <v>0</v>
      </c>
      <c r="P30" s="211"/>
      <c r="Q30" s="156">
        <f>((SUM(J28:N28)-SUM(J31:N31))/(CEILING($J$6*9,9)))*9</f>
        <v>0</v>
      </c>
      <c r="R30" s="12"/>
      <c r="S30" s="12"/>
      <c r="T30" s="90"/>
      <c r="V30" s="267"/>
    </row>
    <row r="31" spans="1:26" hidden="1" outlineLevel="1" x14ac:dyDescent="0.25">
      <c r="A31" s="481"/>
      <c r="B31" s="55">
        <f>J31/3*O31</f>
        <v>0</v>
      </c>
      <c r="C31" s="55">
        <f>IF($J$6&gt;1,IF($U$1&lt;&gt;0,IF(O31*(1+$O$6)&lt;=$U$1*0.25,O31*K31/3*(1+$O$6),$U$1*0.25*K31/3),O31*K31/3*(1+$O$6)),0)</f>
        <v>0</v>
      </c>
      <c r="D31" s="55">
        <f>IF($J$6&gt;2,IF($U$1&lt;&gt;0,IF(O31*(1+$O$6)^2&lt;=$U$1*0.25,O31*L31/3*(1+$O$6)^2,$U$1*0.25*L31/3),O31*L31/3*(1+$O$6)^2),0)</f>
        <v>0</v>
      </c>
      <c r="E31" s="55">
        <f>IF($J$6&gt;3,IF($U$1&lt;&gt;0,IF(O31*(1+$O$6)^3&lt;=$U$1*0.25,O31*M31/3*(1+$O$6)^3,$U$1*0.25*M31/3),O31*M31/3*(1+$O$6)^3),0)</f>
        <v>0</v>
      </c>
      <c r="F31" s="55">
        <f>IF($J$6&gt;4,IF($U$1&lt;&gt;0,IF(O31*(1+$O$6)^4&lt;=$U$1*0.25,O31*N31/3*(1+$O$6)^4,$U$1*0.25*N31/3),O31*N31/3*(1+$O$6)^4),0)</f>
        <v>0</v>
      </c>
      <c r="G31" s="54">
        <f>SUM(B31:F31)</f>
        <v>0</v>
      </c>
      <c r="H31" s="14"/>
      <c r="I31" s="106" t="s">
        <v>17</v>
      </c>
      <c r="J31" s="16">
        <v>0</v>
      </c>
      <c r="K31" s="16">
        <f>IF($J$6&gt;1,J31,0)</f>
        <v>0</v>
      </c>
      <c r="L31" s="16">
        <f>IF($J$6&gt;2,K31,0)</f>
        <v>0</v>
      </c>
      <c r="M31" s="16">
        <f>IF($J$6&gt;3,L31,0)</f>
        <v>0</v>
      </c>
      <c r="N31" s="16">
        <f>IF($J$6&gt;4,M31,0)</f>
        <v>0</v>
      </c>
      <c r="O31" s="145">
        <f>IF(U32="A",IF($U$1&lt;&gt;0,IF(T32*0.000731*456&gt;($U$1/12*3),($U$1/12*3),T32*0.000731*456),T32*0.000731*456),0)</f>
        <v>0</v>
      </c>
      <c r="P31" s="157"/>
      <c r="Q31" s="157">
        <f>((SUM(J28:N28)-SUM(J30:N30)*9)/(CEILING($J$6*3,3)))*3</f>
        <v>0</v>
      </c>
      <c r="R31" s="12"/>
      <c r="S31" s="12"/>
      <c r="V31" s="267"/>
    </row>
    <row r="32" spans="1:26" hidden="1" outlineLevel="1" x14ac:dyDescent="0.25">
      <c r="A32" s="19"/>
      <c r="B32" s="55"/>
      <c r="C32" s="55"/>
      <c r="D32" s="56"/>
      <c r="E32" s="56"/>
      <c r="F32" s="56"/>
      <c r="G32" s="57"/>
      <c r="H32" s="20"/>
      <c r="I32" s="169" t="s">
        <v>109</v>
      </c>
      <c r="J32" s="180">
        <f>SUM(B29:B31)*$V32</f>
        <v>0</v>
      </c>
      <c r="K32" s="180">
        <f>SUM(C29:C31)*$V32</f>
        <v>0</v>
      </c>
      <c r="L32" s="180">
        <f>SUM(D29:D31)*$V32</f>
        <v>0</v>
      </c>
      <c r="M32" s="180">
        <f>SUM(E29:E31)*$V32</f>
        <v>0</v>
      </c>
      <c r="N32" s="180">
        <f>SUM(F29:F31)*$V32</f>
        <v>0</v>
      </c>
      <c r="O32" s="22"/>
      <c r="P32" s="157"/>
      <c r="Q32" s="157"/>
      <c r="R32" s="12"/>
      <c r="S32" s="12"/>
      <c r="T32" s="171"/>
      <c r="U32" s="172"/>
      <c r="V32" s="273"/>
      <c r="W32" s="173"/>
    </row>
    <row r="33" spans="1:24" hidden="1" outlineLevel="1" x14ac:dyDescent="0.25">
      <c r="A33" s="23" t="s">
        <v>84</v>
      </c>
      <c r="B33" s="55"/>
      <c r="C33" s="56"/>
      <c r="D33" s="56"/>
      <c r="E33" s="56"/>
      <c r="F33" s="56"/>
      <c r="G33" s="54"/>
      <c r="I33" s="106" t="s">
        <v>128</v>
      </c>
      <c r="J33" s="179">
        <f>IF(U37="F",J34*12,SUM(J35*9,J36))</f>
        <v>0</v>
      </c>
      <c r="K33" s="179">
        <f>IF(U37="F",K34*12,SUM(K35*9,K36))</f>
        <v>0</v>
      </c>
      <c r="L33" s="179">
        <f>IF(U37="F",L34*12,SUM(L35*9,L36))</f>
        <v>0</v>
      </c>
      <c r="M33" s="179">
        <f>IF(U37="F",M34*12,SUM(M35*9,M36))</f>
        <v>0</v>
      </c>
      <c r="N33" s="179">
        <f>IF(U37="F",N34*12,SUM(N35*9,N36))</f>
        <v>0</v>
      </c>
      <c r="O33" s="49" t="s">
        <v>51</v>
      </c>
      <c r="P33" s="153" t="s">
        <v>126</v>
      </c>
      <c r="Q33" s="153" t="s">
        <v>127</v>
      </c>
      <c r="R33" s="11"/>
      <c r="S33" s="12"/>
      <c r="T33" s="90"/>
      <c r="V33" s="267"/>
    </row>
    <row r="34" spans="1:24" hidden="1" outlineLevel="1" x14ac:dyDescent="0.25">
      <c r="A34" s="13" t="str">
        <f>ROUND(P34*100, 2)&amp;"% Avg. Fiscal Effort, "&amp;ROUND(Q34, 2)&amp;" Avg. Calendar Months"</f>
        <v>0% Avg. Fiscal Effort, 0 Avg. Calendar Months</v>
      </c>
      <c r="B34" s="55">
        <f>O34*J34</f>
        <v>0</v>
      </c>
      <c r="C34" s="55">
        <f>IF($J$6&gt;1,IF($U$1&lt;&gt;0,IF(O34*(1+$O$6)&lt;=$U$1,O34*K34*(1+$O$6),$U$1*K34),O34*K34*(1+$O$6)),0)</f>
        <v>0</v>
      </c>
      <c r="D34" s="55">
        <f>IF($J$6&gt;2,IF($U$1&lt;&gt;0,IF(O34*(1+$O$6)^2&lt;=$U$1,O34*L34*(1+$O$6)^2,$U$1*L34),O34*L34*(1+$O$6)^2),0)</f>
        <v>0</v>
      </c>
      <c r="E34" s="55">
        <f>IF($J$6&gt;3,IF($U$1&lt;&gt;0,IF(O34*(1+$O$6)^3&lt;=$U$1,O34*M34*(1+$O$6)^3,$U$1*M34),O34*M34*(1+$O$6)^3),0)</f>
        <v>0</v>
      </c>
      <c r="F34" s="55">
        <f>IF($J$6&gt;4,IF($U$1&lt;&gt;0,IF(O34*(1+$O$6)^4&lt;=$U$1,O34*N34*(1+$O$6)^4,$U$1*N34),O34*N34*(1+$O$6)^4),0)</f>
        <v>0</v>
      </c>
      <c r="G34" s="54">
        <f>SUM(B34:F34)</f>
        <v>0</v>
      </c>
      <c r="H34" s="14"/>
      <c r="I34" s="106" t="s">
        <v>26</v>
      </c>
      <c r="J34" s="17">
        <v>0</v>
      </c>
      <c r="K34" s="17">
        <f>IF($J$6&gt;1,J34,0)</f>
        <v>0</v>
      </c>
      <c r="L34" s="17">
        <f>IF($J$6&gt;2,K34,0)</f>
        <v>0</v>
      </c>
      <c r="M34" s="17">
        <f>IF($J$6&gt;3,L34,0)</f>
        <v>0</v>
      </c>
      <c r="N34" s="17">
        <f>IF($J$6&gt;4,M34,0)</f>
        <v>0</v>
      </c>
      <c r="O34" s="145">
        <f>IF(U37="F",IF($U$1&lt;&gt;0,IF(T37&gt;$U$1,$U$1,T37),T37),0)</f>
        <v>0</v>
      </c>
      <c r="P34" s="154">
        <f>SUM(J33:N33)/(ROUNDUP($J$6,0)*12)</f>
        <v>0</v>
      </c>
      <c r="Q34" s="155">
        <f>(SUM(J33:N33)/(CEILING($J$6*12,12)))*12</f>
        <v>0</v>
      </c>
      <c r="T34" s="90"/>
      <c r="V34" s="267"/>
      <c r="X34" s="18"/>
    </row>
    <row r="35" spans="1:24" hidden="1" outlineLevel="1" x14ac:dyDescent="0.25">
      <c r="A35" s="481" t="str">
        <f>ROUND(P34*100,2)&amp;"% Annualized Effort, "&amp;ROUND(Q35,2)&amp;" Avg. Academic Months
"&amp;IF(SUM(J36:N36)&gt;0," and "&amp;Q36 &amp;" Avg. Summer Months", "")</f>
        <v xml:space="preserve">0% Annualized Effort, 0 Avg. Academic Months
</v>
      </c>
      <c r="B35" s="55">
        <f>J35*O35</f>
        <v>0</v>
      </c>
      <c r="C35" s="55">
        <f>IF($J$6&gt;1,IF($U$1&lt;&gt;0,IF(O35*(1+$O$6)&lt;=$U$1*0.75,O35*K35*(1+$O$6),$U$1*0.75*K35),O35*K35*(1+$O$6)),0)</f>
        <v>0</v>
      </c>
      <c r="D35" s="55">
        <f>IF($J$6&gt;2,IF($U$1&lt;&gt;0,IF(O35*(1+$O$6)^2&lt;=$U$1*0.75,O35*L35*(1+$O$6)^2,$U$1*0.75*L35),O35*L35*(1+$O$6)^2),0)</f>
        <v>0</v>
      </c>
      <c r="E35" s="55">
        <f>IF($J$6&gt;3,IF($U$1&lt;&gt;0,IF(O35*(1+$O$6)^3&lt;=$U$1*0.75,O35*M35*(1+$O$6)^3,$U$1*0.75*M35),O35*M35*(1+$O$6)^3),0)</f>
        <v>0</v>
      </c>
      <c r="F35" s="55">
        <f>IF($J$6&gt;4,IF($U$1&lt;&gt;0,IF(O35*(1+$O$6)^4&lt;=$U$1*0.75,O35*N35*(1+$O$6)^4,$U$1*0.75*N35),O35*N35*(1+$O$6)^4),0)</f>
        <v>0</v>
      </c>
      <c r="G35" s="54">
        <f>SUM(B35:F35)</f>
        <v>0</v>
      </c>
      <c r="H35" s="14"/>
      <c r="I35" s="106" t="s">
        <v>15</v>
      </c>
      <c r="J35" s="17">
        <v>0</v>
      </c>
      <c r="K35" s="17">
        <f>IF($J$6&gt;1,J35,0)</f>
        <v>0</v>
      </c>
      <c r="L35" s="17">
        <f>IF($J$6&gt;2,K35,0)</f>
        <v>0</v>
      </c>
      <c r="M35" s="17">
        <f>IF($J$6&gt;3,L35,0)</f>
        <v>0</v>
      </c>
      <c r="N35" s="17">
        <f>IF($J$6&gt;4,M35,0)</f>
        <v>0</v>
      </c>
      <c r="O35" s="145">
        <f>IF(U37="A",IF($U$1&lt;&gt;0,IF(T37&gt;($U$1/12*9),($U$1/12*9),T37),T37),0)</f>
        <v>0</v>
      </c>
      <c r="P35" s="211"/>
      <c r="Q35" s="156">
        <f>((SUM(J33:N33)-SUM(J36:N36))/(CEILING($J$6*9,9)))*9</f>
        <v>0</v>
      </c>
      <c r="R35" s="12"/>
      <c r="S35" s="12"/>
      <c r="T35" s="90"/>
      <c r="V35" s="267"/>
    </row>
    <row r="36" spans="1:24" hidden="1" outlineLevel="1" x14ac:dyDescent="0.25">
      <c r="A36" s="481"/>
      <c r="B36" s="55">
        <f>J36/3*O36</f>
        <v>0</v>
      </c>
      <c r="C36" s="55">
        <f>IF($J$6&gt;1,IF($U$1&lt;&gt;0,IF(O36*(1+$O$6)&lt;=$U$1*0.25,O36*K36/3*(1+$O$6),$U$1*0.25*K36/3),O36*K36/3*(1+$O$6)),0)</f>
        <v>0</v>
      </c>
      <c r="D36" s="55">
        <f>IF($J$6&gt;2,IF($U$1&lt;&gt;0,IF(O36*(1+$O$6)^2&lt;=$U$1*0.25,O36*L36/3*(1+$O$6)^2,$U$1*0.25*L36/3),O36*L36/3*(1+$O$6)^2),0)</f>
        <v>0</v>
      </c>
      <c r="E36" s="55">
        <f>IF($J$6&gt;3,IF($U$1&lt;&gt;0,IF(O36*(1+$O$6)^3&lt;=$U$1*0.25,O36*M36/3*(1+$O$6)^3,$U$1*0.25*M36/3),O36*M36/3*(1+$O$6)^3),0)</f>
        <v>0</v>
      </c>
      <c r="F36" s="55">
        <f>IF($J$6&gt;4,IF($U$1&lt;&gt;0,IF(O36*(1+$O$6)^4&lt;=$U$1*0.25,O36*N36/3*(1+$O$6)^4,$U$1*0.25*N36/3),O36*N36/3*(1+$O$6)^4),0)</f>
        <v>0</v>
      </c>
      <c r="G36" s="54">
        <f>SUM(B36:F36)</f>
        <v>0</v>
      </c>
      <c r="H36" s="14"/>
      <c r="I36" s="106" t="s">
        <v>17</v>
      </c>
      <c r="J36" s="16">
        <v>0</v>
      </c>
      <c r="K36" s="16">
        <f>IF($J$6&gt;1,J36,0)</f>
        <v>0</v>
      </c>
      <c r="L36" s="16">
        <f>IF($J$6&gt;2,K36,0)</f>
        <v>0</v>
      </c>
      <c r="M36" s="16">
        <f>IF($J$6&gt;3,L36,0)</f>
        <v>0</v>
      </c>
      <c r="N36" s="16">
        <f>IF($J$6&gt;4,M36,0)</f>
        <v>0</v>
      </c>
      <c r="O36" s="145">
        <f>IF(U37="A",IF($U$1&lt;&gt;0,IF(T37*0.000731*456&gt;($U$1/12*3),($U$1/12*3),T37*0.000731*456),T37*0.000731*456),0)</f>
        <v>0</v>
      </c>
      <c r="P36" s="157"/>
      <c r="Q36" s="157">
        <f>((SUM(J33:N33)-SUM(J35:N35)*9)/(CEILING($J$6*3,3)))*3</f>
        <v>0</v>
      </c>
      <c r="R36" s="12"/>
      <c r="S36" s="12"/>
      <c r="V36" s="267"/>
    </row>
    <row r="37" spans="1:24" hidden="1" outlineLevel="1" x14ac:dyDescent="0.25">
      <c r="A37" s="19"/>
      <c r="B37" s="55"/>
      <c r="C37" s="55"/>
      <c r="D37" s="56"/>
      <c r="E37" s="56"/>
      <c r="F37" s="56"/>
      <c r="G37" s="57"/>
      <c r="H37" s="20"/>
      <c r="I37" s="169" t="s">
        <v>109</v>
      </c>
      <c r="J37" s="180">
        <f>SUM(B34:B36)*$V37</f>
        <v>0</v>
      </c>
      <c r="K37" s="180">
        <f>SUM(C34:C36)*$V37</f>
        <v>0</v>
      </c>
      <c r="L37" s="180">
        <f>SUM(D34:D36)*$V37</f>
        <v>0</v>
      </c>
      <c r="M37" s="180">
        <f>SUM(E34:E36)*$V37</f>
        <v>0</v>
      </c>
      <c r="N37" s="180">
        <f>SUM(F34:F36)*$V37</f>
        <v>0</v>
      </c>
      <c r="O37" s="22"/>
      <c r="P37" s="157"/>
      <c r="Q37" s="157"/>
      <c r="R37" s="12"/>
      <c r="S37" s="12"/>
      <c r="T37" s="171"/>
      <c r="U37" s="172"/>
      <c r="V37" s="273"/>
      <c r="W37" s="173"/>
    </row>
    <row r="38" spans="1:24" hidden="1" outlineLevel="1" x14ac:dyDescent="0.25">
      <c r="A38" s="23" t="s">
        <v>84</v>
      </c>
      <c r="B38" s="55"/>
      <c r="C38" s="56"/>
      <c r="D38" s="56"/>
      <c r="E38" s="56"/>
      <c r="F38" s="56"/>
      <c r="G38" s="54"/>
      <c r="I38" s="106" t="s">
        <v>128</v>
      </c>
      <c r="J38" s="179">
        <f>IF(U42="F",J39*12,SUM(J40*9,J41))</f>
        <v>0</v>
      </c>
      <c r="K38" s="179">
        <f>IF(U42="F",K39*12,SUM(K40*9,K41))</f>
        <v>0</v>
      </c>
      <c r="L38" s="179">
        <f>IF(U42="F",L39*12,SUM(L40*9,L41))</f>
        <v>0</v>
      </c>
      <c r="M38" s="179">
        <f>IF(U42="F",M39*12,SUM(M40*9,M41))</f>
        <v>0</v>
      </c>
      <c r="N38" s="179">
        <f>IF(U42="F",N39*12,SUM(N40*9,N41))</f>
        <v>0</v>
      </c>
      <c r="O38" s="49" t="s">
        <v>51</v>
      </c>
      <c r="P38" s="153" t="s">
        <v>126</v>
      </c>
      <c r="Q38" s="153" t="s">
        <v>127</v>
      </c>
      <c r="R38" s="11"/>
      <c r="S38" s="12"/>
      <c r="T38" s="90"/>
      <c r="V38" s="267"/>
    </row>
    <row r="39" spans="1:24" hidden="1" outlineLevel="1" x14ac:dyDescent="0.25">
      <c r="A39" s="13" t="str">
        <f>ROUND(P39*100, 2)&amp;"% Avg. Fiscal Effort, "&amp;ROUND(Q39, 2)&amp;" Avg. Calendar Months"</f>
        <v>0% Avg. Fiscal Effort, 0 Avg. Calendar Months</v>
      </c>
      <c r="B39" s="55">
        <f>O39*J39</f>
        <v>0</v>
      </c>
      <c r="C39" s="55">
        <f>IF($J$6&gt;1,IF($U$1&lt;&gt;0,IF(O39*(1+$O$6)&lt;=$U$1,O39*K39*(1+$O$6),$U$1*K39),O39*K39*(1+$O$6)),0)</f>
        <v>0</v>
      </c>
      <c r="D39" s="55">
        <f>IF($J$6&gt;2,IF($U$1&lt;&gt;0,IF(O39*(1+$O$6)^2&lt;=$U$1,O39*L39*(1+$O$6)^2,$U$1*L39),O39*L39*(1+$O$6)^2),0)</f>
        <v>0</v>
      </c>
      <c r="E39" s="55">
        <f>IF($J$6&gt;3,IF($U$1&lt;&gt;0,IF(O39*(1+$O$6)^3&lt;=$U$1,O39*M39*(1+$O$6)^3,$U$1*M39),O39*M39*(1+$O$6)^3),0)</f>
        <v>0</v>
      </c>
      <c r="F39" s="55">
        <f>IF($J$6&gt;4,IF($U$1&lt;&gt;0,IF(O39*(1+$O$6)^4&lt;=$U$1,O39*N39*(1+$O$6)^4,$U$1*N39),O39*N39*(1+$O$6)^4),0)</f>
        <v>0</v>
      </c>
      <c r="G39" s="54">
        <f>SUM(B39:F39)</f>
        <v>0</v>
      </c>
      <c r="H39" s="14"/>
      <c r="I39" s="106" t="s">
        <v>26</v>
      </c>
      <c r="J39" s="17">
        <v>0</v>
      </c>
      <c r="K39" s="17">
        <f>IF($J$6&gt;1,J39,0)</f>
        <v>0</v>
      </c>
      <c r="L39" s="17">
        <f>IF($J$6&gt;2,K39,0)</f>
        <v>0</v>
      </c>
      <c r="M39" s="17">
        <f>IF($J$6&gt;3,L39,0)</f>
        <v>0</v>
      </c>
      <c r="N39" s="17">
        <f>IF($J$6&gt;4,M39,0)</f>
        <v>0</v>
      </c>
      <c r="O39" s="145">
        <f>IF(U42="F",IF($U$1&lt;&gt;0,IF(T42&gt;$U$1,$U$1,T42),T42),0)</f>
        <v>0</v>
      </c>
      <c r="P39" s="154">
        <f>SUM(J38:N38)/(ROUNDUP($J$6,0)*12)</f>
        <v>0</v>
      </c>
      <c r="Q39" s="155">
        <f>(SUM(J38:N38)/(CEILING($J$6*12,12)))*12</f>
        <v>0</v>
      </c>
      <c r="T39" s="90"/>
      <c r="V39" s="267"/>
      <c r="X39" s="18"/>
    </row>
    <row r="40" spans="1:24" hidden="1" outlineLevel="1" x14ac:dyDescent="0.25">
      <c r="A40" s="481" t="str">
        <f>ROUND(P39*100,2)&amp;"% Annualized Effort, "&amp;ROUND(Q40,2)&amp;" Avg. Academic Months
"&amp;IF(SUM(J41:N41)&gt;0," and "&amp;Q41 &amp;" Avg. Summer Months", "")</f>
        <v xml:space="preserve">0% Annualized Effort, 0 Avg. Academic Months
</v>
      </c>
      <c r="B40" s="55">
        <f>J40*O40</f>
        <v>0</v>
      </c>
      <c r="C40" s="55">
        <f>IF($J$6&gt;1,IF($U$1&lt;&gt;0,IF(O40*(1+$O$6)&lt;=$U$1*0.75,O40*K40*(1+$O$6),$U$1*0.75*K40),O40*K40*(1+$O$6)),0)</f>
        <v>0</v>
      </c>
      <c r="D40" s="55">
        <f>IF($J$6&gt;2,IF($U$1&lt;&gt;0,IF(O40*(1+$O$6)^2&lt;=$U$1*0.75,O40*L40*(1+$O$6)^2,$U$1*0.75*L40),O40*L40*(1+$O$6)^2),0)</f>
        <v>0</v>
      </c>
      <c r="E40" s="55">
        <f>IF($J$6&gt;3,IF($U$1&lt;&gt;0,IF(O40*(1+$O$6)^3&lt;=$U$1*0.75,O40*M40*(1+$O$6)^3,$U$1*0.75*M40),O40*M40*(1+$O$6)^3),0)</f>
        <v>0</v>
      </c>
      <c r="F40" s="55">
        <f>IF($J$6&gt;4,IF($U$1&lt;&gt;0,IF(O40*(1+$O$6)^4&lt;=$U$1*0.75,O40*N40*(1+$O$6)^4,$U$1*0.75*N40),O40*N40*(1+$O$6)^4),0)</f>
        <v>0</v>
      </c>
      <c r="G40" s="54">
        <f>SUM(B40:F40)</f>
        <v>0</v>
      </c>
      <c r="H40" s="14"/>
      <c r="I40" s="106" t="s">
        <v>15</v>
      </c>
      <c r="J40" s="17">
        <v>0</v>
      </c>
      <c r="K40" s="17">
        <f>IF($J$6&gt;1,J40,0)</f>
        <v>0</v>
      </c>
      <c r="L40" s="17">
        <f>IF($J$6&gt;2,K40,0)</f>
        <v>0</v>
      </c>
      <c r="M40" s="17">
        <f>IF($J$6&gt;3,L40,0)</f>
        <v>0</v>
      </c>
      <c r="N40" s="17">
        <f>IF($J$6&gt;4,M40,0)</f>
        <v>0</v>
      </c>
      <c r="O40" s="145">
        <f>IF(U42="A",IF($U$1&lt;&gt;0,IF(T42&gt;($U$1/12*9),($U$1/12*9),T42),T42),0)</f>
        <v>0</v>
      </c>
      <c r="P40" s="211"/>
      <c r="Q40" s="156">
        <f>((SUM(J38:N38)-SUM(J41:N41))/(CEILING($J$6*9,9)))*9</f>
        <v>0</v>
      </c>
      <c r="R40" s="12"/>
      <c r="S40" s="12"/>
      <c r="T40" s="90"/>
      <c r="V40" s="267"/>
    </row>
    <row r="41" spans="1:24" hidden="1" outlineLevel="1" x14ac:dyDescent="0.25">
      <c r="A41" s="481"/>
      <c r="B41" s="55">
        <f>J41/3*O41</f>
        <v>0</v>
      </c>
      <c r="C41" s="55">
        <f>IF($J$6&gt;1,IF($U$1&lt;&gt;0,IF(O41*(1+$O$6)&lt;=$U$1*0.25,O41*K41/3*(1+$O$6),$U$1*0.25*K41/3),O41*K41/3*(1+$O$6)),0)</f>
        <v>0</v>
      </c>
      <c r="D41" s="55">
        <f>IF($J$6&gt;2,IF($U$1&lt;&gt;0,IF(O41*(1+$O$6)^2&lt;=$U$1*0.25,O41*L41/3*(1+$O$6)^2,$U$1*0.25*L41/3),O41*L41/3*(1+$O$6)^2),0)</f>
        <v>0</v>
      </c>
      <c r="E41" s="55">
        <f>IF($J$6&gt;3,IF($U$1&lt;&gt;0,IF(O41*(1+$O$6)^3&lt;=$U$1*0.25,O41*M41/3*(1+$O$6)^3,$U$1*0.25*M41/3),O41*M41/3*(1+$O$6)^3),0)</f>
        <v>0</v>
      </c>
      <c r="F41" s="55">
        <f>IF($J$6&gt;4,IF($U$1&lt;&gt;0,IF(O41*(1+$O$6)^4&lt;=$U$1*0.25,O41*N41/3*(1+$O$6)^4,$U$1*0.25*N41/3),O41*N41/3*(1+$O$6)^4),0)</f>
        <v>0</v>
      </c>
      <c r="G41" s="54">
        <f>SUM(B41:F41)</f>
        <v>0</v>
      </c>
      <c r="H41" s="14"/>
      <c r="I41" s="106" t="s">
        <v>17</v>
      </c>
      <c r="J41" s="16">
        <v>0</v>
      </c>
      <c r="K41" s="16">
        <f>IF($J$6&gt;1,J41,0)</f>
        <v>0</v>
      </c>
      <c r="L41" s="16">
        <f>IF($J$6&gt;2,K41,0)</f>
        <v>0</v>
      </c>
      <c r="M41" s="16">
        <f>IF($J$6&gt;3,L41,0)</f>
        <v>0</v>
      </c>
      <c r="N41" s="16">
        <f>IF($J$6&gt;4,M41,0)</f>
        <v>0</v>
      </c>
      <c r="O41" s="145">
        <f>IF(U42="A",IF($U$1&lt;&gt;0,IF(T42*0.000731*456&gt;($U$1/12*3),($U$1/12*3),T42*0.000731*456),T42*0.000731*456),0)</f>
        <v>0</v>
      </c>
      <c r="P41" s="157"/>
      <c r="Q41" s="157">
        <f>((SUM(J38:N38)-SUM(J40:N40)*9)/(CEILING($J$6*3,3)))*3</f>
        <v>0</v>
      </c>
      <c r="R41" s="12"/>
      <c r="S41" s="12"/>
      <c r="V41" s="267"/>
    </row>
    <row r="42" spans="1:24" hidden="1" outlineLevel="1" x14ac:dyDescent="0.25">
      <c r="A42" s="19"/>
      <c r="B42" s="55"/>
      <c r="C42" s="55"/>
      <c r="D42" s="56"/>
      <c r="E42" s="56"/>
      <c r="F42" s="56"/>
      <c r="G42" s="57"/>
      <c r="H42" s="20"/>
      <c r="I42" s="169" t="s">
        <v>109</v>
      </c>
      <c r="J42" s="180">
        <f>SUM(B39:B41)*$V42</f>
        <v>0</v>
      </c>
      <c r="K42" s="180">
        <f>SUM(C39:C41)*$V42</f>
        <v>0</v>
      </c>
      <c r="L42" s="180">
        <f>SUM(D39:D41)*$V42</f>
        <v>0</v>
      </c>
      <c r="M42" s="180">
        <f>SUM(E39:E41)*$V42</f>
        <v>0</v>
      </c>
      <c r="N42" s="180">
        <f>SUM(F39:F41)*$V42</f>
        <v>0</v>
      </c>
      <c r="O42" s="22"/>
      <c r="P42" s="157"/>
      <c r="Q42" s="157"/>
      <c r="R42" s="12"/>
      <c r="S42" s="12"/>
      <c r="T42" s="171"/>
      <c r="U42" s="172"/>
      <c r="V42" s="273"/>
      <c r="W42" s="173"/>
    </row>
    <row r="43" spans="1:24" hidden="1" outlineLevel="1" x14ac:dyDescent="0.25">
      <c r="A43" s="23" t="s">
        <v>84</v>
      </c>
      <c r="B43" s="55"/>
      <c r="C43" s="56"/>
      <c r="D43" s="56"/>
      <c r="E43" s="56"/>
      <c r="F43" s="56"/>
      <c r="G43" s="54"/>
      <c r="I43" s="106" t="s">
        <v>128</v>
      </c>
      <c r="J43" s="179">
        <f>IF(U47="F",J44*12,SUM(J45*9,J46))</f>
        <v>0</v>
      </c>
      <c r="K43" s="179">
        <f>IF(U47="F",K44*12,SUM(K45*9,K46))</f>
        <v>0</v>
      </c>
      <c r="L43" s="179">
        <f>IF(U47="F",L44*12,SUM(L45*9,L46))</f>
        <v>0</v>
      </c>
      <c r="M43" s="179">
        <f>IF(U47="F",M44*12,SUM(M45*9,M46))</f>
        <v>0</v>
      </c>
      <c r="N43" s="179">
        <f>IF(U47="F",N44*12,SUM(N45*9,N46))</f>
        <v>0</v>
      </c>
      <c r="O43" s="49" t="s">
        <v>51</v>
      </c>
      <c r="P43" s="153" t="s">
        <v>126</v>
      </c>
      <c r="Q43" s="153" t="s">
        <v>127</v>
      </c>
      <c r="R43" s="11"/>
      <c r="S43" s="12"/>
      <c r="T43" s="90"/>
      <c r="V43" s="267"/>
    </row>
    <row r="44" spans="1:24" hidden="1" outlineLevel="1" x14ac:dyDescent="0.25">
      <c r="A44" s="13" t="str">
        <f>ROUND(P44*100, 2)&amp;"% Avg. Fiscal Effort, "&amp;ROUND(Q44, 2)&amp;" Avg. Calendar Months"</f>
        <v>0% Avg. Fiscal Effort, 0 Avg. Calendar Months</v>
      </c>
      <c r="B44" s="55">
        <f>O44*J44</f>
        <v>0</v>
      </c>
      <c r="C44" s="55">
        <f>IF($J$6&gt;1,IF($U$1&lt;&gt;0,IF(O44*(1+$O$6)&lt;=$U$1,O44*K44*(1+$O$6),$U$1*K44),O44*K44*(1+$O$6)),0)</f>
        <v>0</v>
      </c>
      <c r="D44" s="55">
        <f>IF($J$6&gt;2,IF($U$1&lt;&gt;0,IF(O44*(1+$O$6)^2&lt;=$U$1,O44*L44*(1+$O$6)^2,$U$1*L44),O44*L44*(1+$O$6)^2),0)</f>
        <v>0</v>
      </c>
      <c r="E44" s="55">
        <f>IF($J$6&gt;3,IF($U$1&lt;&gt;0,IF(O44*(1+$O$6)^3&lt;=$U$1,O44*M44*(1+$O$6)^3,$U$1*M44),O44*M44*(1+$O$6)^3),0)</f>
        <v>0</v>
      </c>
      <c r="F44" s="55">
        <f>IF($J$6&gt;4,IF($U$1&lt;&gt;0,IF(O44*(1+$O$6)^4&lt;=$U$1,O44*N44*(1+$O$6)^4,$U$1*N44),O44*N44*(1+$O$6)^4),0)</f>
        <v>0</v>
      </c>
      <c r="G44" s="54">
        <f>SUM(B44:F44)</f>
        <v>0</v>
      </c>
      <c r="H44" s="14"/>
      <c r="I44" s="106" t="s">
        <v>26</v>
      </c>
      <c r="J44" s="17">
        <v>0</v>
      </c>
      <c r="K44" s="17">
        <f>IF($J$6&gt;1,J44,0)</f>
        <v>0</v>
      </c>
      <c r="L44" s="17">
        <f>IF($J$6&gt;2,K44,0)</f>
        <v>0</v>
      </c>
      <c r="M44" s="17">
        <f>IF($J$6&gt;3,L44,0)</f>
        <v>0</v>
      </c>
      <c r="N44" s="17">
        <f>IF($J$6&gt;4,M44,0)</f>
        <v>0</v>
      </c>
      <c r="O44" s="145">
        <f>IF(U47="F",IF($U$1&lt;&gt;0,IF(T47&gt;$U$1,$U$1,T47),T47),0)</f>
        <v>0</v>
      </c>
      <c r="P44" s="154">
        <f>SUM(J43:N43)/(ROUNDUP($J$6,0)*12)</f>
        <v>0</v>
      </c>
      <c r="Q44" s="155">
        <f>(SUM(J43:N43)/(CEILING($J$6*12,12)))*12</f>
        <v>0</v>
      </c>
      <c r="T44" s="90"/>
      <c r="V44" s="267"/>
      <c r="X44" s="18"/>
    </row>
    <row r="45" spans="1:24" ht="15.75" hidden="1" customHeight="1" outlineLevel="1" x14ac:dyDescent="0.25">
      <c r="A45" s="481" t="str">
        <f>ROUND(P44*100,2)&amp;"% Annualized Effort, "&amp;ROUND(Q45,2)&amp;" Avg. Academic Months
"&amp;IF(SUM(J46:N46)&gt;0," and "&amp;Q46 &amp;" Avg. Summer Months", "")</f>
        <v xml:space="preserve">0% Annualized Effort, 0 Avg. Academic Months
</v>
      </c>
      <c r="B45" s="55">
        <f>J45*O45</f>
        <v>0</v>
      </c>
      <c r="C45" s="55">
        <f>IF($J$6&gt;1,IF($U$1&lt;&gt;0,IF(O45*(1+$O$6)&lt;=$U$1*0.75,O45*K45*(1+$O$6),$U$1*0.75*K45),O45*K45*(1+$O$6)),0)</f>
        <v>0</v>
      </c>
      <c r="D45" s="55">
        <f>IF($J$6&gt;2,IF($U$1&lt;&gt;0,IF(O45*(1+$O$6)^2&lt;=$U$1*0.75,O45*L45*(1+$O$6)^2,$U$1*0.75*L45),O45*L45*(1+$O$6)^2),0)</f>
        <v>0</v>
      </c>
      <c r="E45" s="55">
        <f>IF($J$6&gt;3,IF($U$1&lt;&gt;0,IF(O45*(1+$O$6)^3&lt;=$U$1*0.75,O45*M45*(1+$O$6)^3,$U$1*0.75*M45),O45*M45*(1+$O$6)^3),0)</f>
        <v>0</v>
      </c>
      <c r="F45" s="55">
        <f>IF($J$6&gt;4,IF($U$1&lt;&gt;0,IF(O45*(1+$O$6)^4&lt;=$U$1*0.75,O45*N45*(1+$O$6)^4,$U$1*0.75*N45),O45*N45*(1+$O$6)^4),0)</f>
        <v>0</v>
      </c>
      <c r="G45" s="54">
        <f>SUM(B45:F45)</f>
        <v>0</v>
      </c>
      <c r="H45" s="14"/>
      <c r="I45" s="106" t="s">
        <v>15</v>
      </c>
      <c r="J45" s="17">
        <v>0</v>
      </c>
      <c r="K45" s="17">
        <f>IF($J$6&gt;1,J45,0)</f>
        <v>0</v>
      </c>
      <c r="L45" s="17">
        <f>IF($J$6&gt;2,K45,0)</f>
        <v>0</v>
      </c>
      <c r="M45" s="17">
        <f>IF($J$6&gt;3,L45,0)</f>
        <v>0</v>
      </c>
      <c r="N45" s="17">
        <f>IF($J$6&gt;4,M45,0)</f>
        <v>0</v>
      </c>
      <c r="O45" s="145">
        <f>IF(U47="A",IF($U$1&lt;&gt;0,IF(T47&gt;($U$1/12*9),($U$1/12*9),T47),T47),0)</f>
        <v>0</v>
      </c>
      <c r="P45" s="211"/>
      <c r="Q45" s="156">
        <f>((SUM(J43:N43)-SUM(J46:N46))/(CEILING($J$6*9,9)))*9</f>
        <v>0</v>
      </c>
      <c r="R45" s="12"/>
      <c r="S45" s="12"/>
      <c r="T45" s="90"/>
      <c r="V45" s="267"/>
    </row>
    <row r="46" spans="1:24" hidden="1" outlineLevel="1" x14ac:dyDescent="0.25">
      <c r="A46" s="481"/>
      <c r="B46" s="55">
        <f>J46/3*O46</f>
        <v>0</v>
      </c>
      <c r="C46" s="55">
        <f>IF($J$6&gt;1,IF($U$1&lt;&gt;0,IF(O46*(1+$O$6)&lt;=$U$1*0.25,O46*K46/3*(1+$O$6),$U$1*0.25*K46/3),O46*K46/3*(1+$O$6)),0)</f>
        <v>0</v>
      </c>
      <c r="D46" s="55">
        <f>IF($J$6&gt;2,IF($U$1&lt;&gt;0,IF(O46*(1+$O$6)^2&lt;=$U$1*0.25,O46*L46/3*(1+$O$6)^2,$U$1*0.25*L46/3),O46*L46/3*(1+$O$6)^2),0)</f>
        <v>0</v>
      </c>
      <c r="E46" s="55">
        <f>IF($J$6&gt;3,IF($U$1&lt;&gt;0,IF(O46*(1+$O$6)^3&lt;=$U$1*0.25,O46*M46/3*(1+$O$6)^3,$U$1*0.25*M46/3),O46*M46/3*(1+$O$6)^3),0)</f>
        <v>0</v>
      </c>
      <c r="F46" s="55">
        <f>IF($J$6&gt;4,IF($U$1&lt;&gt;0,IF(O46*(1+$O$6)^4&lt;=$U$1*0.25,O46*N46/3*(1+$O$6)^4,$U$1*0.25*N46/3),O46*N46/3*(1+$O$6)^4),0)</f>
        <v>0</v>
      </c>
      <c r="G46" s="54">
        <f>SUM(B46:F46)</f>
        <v>0</v>
      </c>
      <c r="H46" s="14"/>
      <c r="I46" s="106" t="s">
        <v>17</v>
      </c>
      <c r="J46" s="16">
        <v>0</v>
      </c>
      <c r="K46" s="16">
        <f>IF($J$6&gt;1,J46,0)</f>
        <v>0</v>
      </c>
      <c r="L46" s="16">
        <f>IF($J$6&gt;2,K46,0)</f>
        <v>0</v>
      </c>
      <c r="M46" s="16">
        <f>IF($J$6&gt;3,L46,0)</f>
        <v>0</v>
      </c>
      <c r="N46" s="16">
        <f>IF($J$6&gt;4,M46,0)</f>
        <v>0</v>
      </c>
      <c r="O46" s="145">
        <f>IF(U47="A",IF($U$1&lt;&gt;0,IF(T47*0.000731*456&gt;($U$1/12*3),($U$1/12*3),T47*0.000731*456),T47*0.000731*456),0)</f>
        <v>0</v>
      </c>
      <c r="P46" s="157"/>
      <c r="Q46" s="157">
        <f>((SUM(J43:N43)-SUM(J45:N45)*9)/(CEILING($J$6*3,3)))*3</f>
        <v>0</v>
      </c>
      <c r="R46" s="12"/>
      <c r="S46" s="12"/>
      <c r="V46" s="267"/>
    </row>
    <row r="47" spans="1:24" hidden="1" outlineLevel="1" x14ac:dyDescent="0.25">
      <c r="A47" s="19"/>
      <c r="B47" s="55"/>
      <c r="C47" s="55"/>
      <c r="D47" s="56"/>
      <c r="E47" s="56"/>
      <c r="F47" s="56"/>
      <c r="G47" s="57"/>
      <c r="H47" s="20"/>
      <c r="I47" s="169" t="s">
        <v>109</v>
      </c>
      <c r="J47" s="180">
        <f>SUM(B44:B46)*$V47</f>
        <v>0</v>
      </c>
      <c r="K47" s="180">
        <f>SUM(C44:C46)*$V47</f>
        <v>0</v>
      </c>
      <c r="L47" s="180">
        <f>SUM(D44:D46)*$V47</f>
        <v>0</v>
      </c>
      <c r="M47" s="180">
        <f>SUM(E44:E46)*$V47</f>
        <v>0</v>
      </c>
      <c r="N47" s="180">
        <f>SUM(F44:F46)*$V47</f>
        <v>0</v>
      </c>
      <c r="O47" s="22"/>
      <c r="P47" s="157"/>
      <c r="Q47" s="157"/>
      <c r="R47" s="12"/>
      <c r="S47" s="12"/>
      <c r="T47" s="171"/>
      <c r="U47" s="172"/>
      <c r="V47" s="273"/>
      <c r="W47" s="173"/>
    </row>
    <row r="48" spans="1:24" hidden="1" outlineLevel="1" x14ac:dyDescent="0.25">
      <c r="A48" s="23" t="s">
        <v>175</v>
      </c>
      <c r="B48" s="55"/>
      <c r="C48" s="56"/>
      <c r="D48" s="56"/>
      <c r="E48" s="56"/>
      <c r="F48" s="56"/>
      <c r="G48" s="54"/>
      <c r="I48" s="106" t="s">
        <v>128</v>
      </c>
      <c r="J48" s="179">
        <f>IF(U52="F",J49*12,SUM(J50*9,J51))</f>
        <v>0</v>
      </c>
      <c r="K48" s="179">
        <f>IF(U52="F",K49*12,SUM(K50*9,K51))</f>
        <v>0</v>
      </c>
      <c r="L48" s="179">
        <f>IF(U52="F",L49*12,SUM(L50*9,L51))</f>
        <v>0</v>
      </c>
      <c r="M48" s="179">
        <f>IF(U52="F",M49*12,SUM(M50*9,M51))</f>
        <v>0</v>
      </c>
      <c r="N48" s="179">
        <f>IF(U52="F",N49*12,SUM(N50*9,N51))</f>
        <v>0</v>
      </c>
      <c r="O48" s="49" t="s">
        <v>51</v>
      </c>
      <c r="P48" s="153" t="s">
        <v>126</v>
      </c>
      <c r="Q48" s="153" t="s">
        <v>127</v>
      </c>
      <c r="R48" s="11"/>
      <c r="S48" s="12"/>
      <c r="T48" s="90"/>
      <c r="V48" s="267"/>
    </row>
    <row r="49" spans="1:24" hidden="1" outlineLevel="1" x14ac:dyDescent="0.25">
      <c r="A49" s="13" t="str">
        <f>ROUND(P49*100, 2)&amp;"% Avg. Fiscal Effort, "&amp;ROUND(Q49, 2)&amp;" Avg. Calendar Months"</f>
        <v>0% Avg. Fiscal Effort, 0 Avg. Calendar Months</v>
      </c>
      <c r="B49" s="55">
        <f>O49*J49</f>
        <v>0</v>
      </c>
      <c r="C49" s="55">
        <f>IF($J$6&gt;1,IF($U$1&lt;&gt;0,IF(O49*(1+$O$6)&lt;=$U$1,O49*K49*(1+$O$6),$U$1*K49),O49*K49*(1+$O$6)),0)</f>
        <v>0</v>
      </c>
      <c r="D49" s="55">
        <f>IF($J$6&gt;2,IF($U$1&lt;&gt;0,IF(O49*(1+$O$6)^2&lt;=$U$1,O49*L49*(1+$O$6)^2,$U$1*L49),O49*L49*(1+$O$6)^2),0)</f>
        <v>0</v>
      </c>
      <c r="E49" s="55">
        <f>IF($J$6&gt;3,IF($U$1&lt;&gt;0,IF(O49*(1+$O$6)^3&lt;=$U$1,O49*M49*(1+$O$6)^3,$U$1*M49),O49*M49*(1+$O$6)^3),0)</f>
        <v>0</v>
      </c>
      <c r="F49" s="55">
        <f>IF($J$6&gt;4,IF($U$1&lt;&gt;0,IF(O49*(1+$O$6)^4&lt;=$U$1,O49*N49*(1+$O$6)^4,$U$1*N49),O49*N49*(1+$O$6)^4),0)</f>
        <v>0</v>
      </c>
      <c r="G49" s="54">
        <f>SUM(B49:F49)</f>
        <v>0</v>
      </c>
      <c r="H49" s="14"/>
      <c r="I49" s="106" t="s">
        <v>26</v>
      </c>
      <c r="J49" s="17">
        <v>0</v>
      </c>
      <c r="K49" s="17">
        <f>IF($J$6&gt;1,J49,0)</f>
        <v>0</v>
      </c>
      <c r="L49" s="17">
        <f>IF($J$6&gt;2,K49,0)</f>
        <v>0</v>
      </c>
      <c r="M49" s="17">
        <f>IF($J$6&gt;3,L49,0)</f>
        <v>0</v>
      </c>
      <c r="N49" s="17">
        <f>IF($J$6&gt;4,M49,0)</f>
        <v>0</v>
      </c>
      <c r="O49" s="145">
        <f>IF(U52="F",IF($U$1&lt;&gt;0,IF(T52&gt;$U$1,$U$1,T52),T52),0)</f>
        <v>0</v>
      </c>
      <c r="P49" s="154">
        <f>SUM(J48:N48)/(ROUNDUP($J$6,0)*12)</f>
        <v>0</v>
      </c>
      <c r="Q49" s="155">
        <f>(SUM(J48:N48)/(CEILING($J$6*12,12)))*12</f>
        <v>0</v>
      </c>
      <c r="T49" s="90"/>
      <c r="V49" s="267"/>
      <c r="X49" s="18"/>
    </row>
    <row r="50" spans="1:24" hidden="1" outlineLevel="1" x14ac:dyDescent="0.25">
      <c r="A50" s="481" t="str">
        <f>ROUND(P49*100,2)&amp;"% Annualized Effort, "&amp;ROUND(Q50,2)&amp;" Avg. Academic Months
"&amp;IF(SUM(J51:N51)&gt;0," and "&amp;Q51 &amp;" Avg. Summer Months", "")</f>
        <v xml:space="preserve">0% Annualized Effort, 0 Avg. Academic Months
</v>
      </c>
      <c r="B50" s="55">
        <f>J50*O50</f>
        <v>0</v>
      </c>
      <c r="C50" s="55">
        <f>IF($J$6&gt;1,IF($U$1&lt;&gt;0,IF(O50*(1+$O$6)&lt;=$U$1*0.75,O50*K50*(1+$O$6),$U$1*0.75*K50),O50*K50*(1+$O$6)),0)</f>
        <v>0</v>
      </c>
      <c r="D50" s="55">
        <f>IF($J$6&gt;2,IF($U$1&lt;&gt;0,IF(O50*(1+$O$6)^2&lt;=$U$1*0.75,O50*L50*(1+$O$6)^2,$U$1*0.75*L50),O50*L50*(1+$O$6)^2),0)</f>
        <v>0</v>
      </c>
      <c r="E50" s="55">
        <f>IF($J$6&gt;3,IF($U$1&lt;&gt;0,IF(O50*(1+$O$6)^3&lt;=$U$1*0.75,O50*M50*(1+$O$6)^3,$U$1*0.75*M50),O50*M50*(1+$O$6)^3),0)</f>
        <v>0</v>
      </c>
      <c r="F50" s="55">
        <f>IF($J$6&gt;4,IF($U$1&lt;&gt;0,IF(O50*(1+$O$6)^4&lt;=$U$1*0.75,O50*N50*(1+$O$6)^4,$U$1*0.75*N50),O50*N50*(1+$O$6)^4),0)</f>
        <v>0</v>
      </c>
      <c r="G50" s="54">
        <f>SUM(B50:F50)</f>
        <v>0</v>
      </c>
      <c r="H50" s="14"/>
      <c r="I50" s="106" t="s">
        <v>15</v>
      </c>
      <c r="J50" s="17">
        <v>0</v>
      </c>
      <c r="K50" s="17">
        <f>IF($J$6&gt;1,J50,0)</f>
        <v>0</v>
      </c>
      <c r="L50" s="17">
        <f>IF($J$6&gt;2,K50,0)</f>
        <v>0</v>
      </c>
      <c r="M50" s="17">
        <f>IF($J$6&gt;3,L50,0)</f>
        <v>0</v>
      </c>
      <c r="N50" s="17">
        <f>IF($J$6&gt;4,M50,0)</f>
        <v>0</v>
      </c>
      <c r="O50" s="145">
        <f>IF(U52="A",IF($U$1&lt;&gt;0,IF(T52&gt;($U$1/12*9),($U$1/12*9),T52),T52),0)</f>
        <v>0</v>
      </c>
      <c r="P50" s="211"/>
      <c r="Q50" s="156">
        <f>((SUM(J48:N48)-SUM(J51:N51))/(CEILING($J$6*9,9)))*9</f>
        <v>0</v>
      </c>
      <c r="R50" s="12"/>
      <c r="S50" s="12"/>
      <c r="T50" s="90"/>
      <c r="V50" s="267"/>
    </row>
    <row r="51" spans="1:24" hidden="1" outlineLevel="1" x14ac:dyDescent="0.25">
      <c r="A51" s="481"/>
      <c r="B51" s="55">
        <f>J51/3*O51</f>
        <v>0</v>
      </c>
      <c r="C51" s="55">
        <f>IF($J$6&gt;1,IF($U$1&lt;&gt;0,IF(O51*(1+$O$6)&lt;=$U$1*0.25,O51*K51/3*(1+$O$6),$U$1*0.25*K51/3),O51*K51/3*(1+$O$6)),0)</f>
        <v>0</v>
      </c>
      <c r="D51" s="55">
        <f>IF($J$6&gt;2,IF($U$1&lt;&gt;0,IF(O51*(1+$O$6)^2&lt;=$U$1*0.25,O51*L51/3*(1+$O$6)^2,$U$1*0.25*L51/3),O51*L51/3*(1+$O$6)^2),0)</f>
        <v>0</v>
      </c>
      <c r="E51" s="55">
        <f>IF($J$6&gt;3,IF($U$1&lt;&gt;0,IF(O51*(1+$O$6)^3&lt;=$U$1*0.25,O51*M51/3*(1+$O$6)^3,$U$1*0.25*M51/3),O51*M51/3*(1+$O$6)^3),0)</f>
        <v>0</v>
      </c>
      <c r="F51" s="55">
        <f>IF($J$6&gt;4,IF($U$1&lt;&gt;0,IF(O51*(1+$O$6)^4&lt;=$U$1*0.25,O51*N51/3*(1+$O$6)^4,$U$1*0.25*N51/3),O51*N51/3*(1+$O$6)^4),0)</f>
        <v>0</v>
      </c>
      <c r="G51" s="54">
        <f>SUM(B51:F51)</f>
        <v>0</v>
      </c>
      <c r="H51" s="14"/>
      <c r="I51" s="106" t="s">
        <v>17</v>
      </c>
      <c r="J51" s="16">
        <v>0</v>
      </c>
      <c r="K51" s="16">
        <f>IF($J$6&gt;1,J51,0)</f>
        <v>0</v>
      </c>
      <c r="L51" s="16">
        <f>IF($J$6&gt;2,K51,0)</f>
        <v>0</v>
      </c>
      <c r="M51" s="16">
        <f>IF($J$6&gt;3,L51,0)</f>
        <v>0</v>
      </c>
      <c r="N51" s="16">
        <f>IF($J$6&gt;4,M51,0)</f>
        <v>0</v>
      </c>
      <c r="O51" s="145">
        <f>IF(U52="A",IF($U$1&lt;&gt;0,IF(T52*0.000731*456&gt;($U$1/12*3),($U$1/12*3),T52*0.000731*456),T52*0.000731*456),0)</f>
        <v>0</v>
      </c>
      <c r="P51" s="157"/>
      <c r="Q51" s="157">
        <f>((SUM(J48:N48)-SUM(J50:N50)*9)/(CEILING($J$6*3,3)))*3</f>
        <v>0</v>
      </c>
      <c r="R51" s="12"/>
      <c r="S51" s="12"/>
      <c r="V51" s="267"/>
    </row>
    <row r="52" spans="1:24" hidden="1" outlineLevel="1" x14ac:dyDescent="0.25">
      <c r="A52" s="19"/>
      <c r="B52" s="55"/>
      <c r="C52" s="55"/>
      <c r="D52" s="56"/>
      <c r="E52" s="56"/>
      <c r="F52" s="56"/>
      <c r="G52" s="57"/>
      <c r="H52" s="20"/>
      <c r="I52" s="169" t="s">
        <v>109</v>
      </c>
      <c r="J52" s="180">
        <f>SUM(B49:B51)*$V52</f>
        <v>0</v>
      </c>
      <c r="K52" s="180">
        <f>SUM(C49:C51)*$V52</f>
        <v>0</v>
      </c>
      <c r="L52" s="180">
        <f>SUM(D49:D51)*$V52</f>
        <v>0</v>
      </c>
      <c r="M52" s="180">
        <f>SUM(E49:E51)*$V52</f>
        <v>0</v>
      </c>
      <c r="N52" s="180">
        <f>SUM(F49:F51)*$V52</f>
        <v>0</v>
      </c>
      <c r="O52" s="22"/>
      <c r="P52" s="157"/>
      <c r="Q52" s="157"/>
      <c r="R52" s="12"/>
      <c r="S52" s="12"/>
      <c r="T52" s="171"/>
      <c r="U52" s="172"/>
      <c r="V52" s="273"/>
      <c r="W52" s="173"/>
    </row>
    <row r="53" spans="1:24" outlineLevel="1" x14ac:dyDescent="0.25">
      <c r="A53" s="282" t="str">
        <f>Budget!A53</f>
        <v>TBN, Role (with salary cap cost share)</v>
      </c>
      <c r="B53" s="55"/>
      <c r="C53" s="56"/>
      <c r="D53" s="56"/>
      <c r="E53" s="56"/>
      <c r="F53" s="56"/>
      <c r="G53" s="54"/>
      <c r="I53" s="106" t="s">
        <v>128</v>
      </c>
      <c r="J53" s="179">
        <f>IF(U57="F",J54*12,SUM(J55*9,J56))</f>
        <v>0</v>
      </c>
      <c r="K53" s="179">
        <f>IF(U57="F",K54*12,SUM(K55*9,K56))</f>
        <v>0</v>
      </c>
      <c r="L53" s="179">
        <f>IF(U57="F",L54*12,SUM(L55*9,L56))</f>
        <v>0</v>
      </c>
      <c r="M53" s="179">
        <f>IF(U57="F",M54*12,SUM(M55*9,M56))</f>
        <v>0</v>
      </c>
      <c r="N53" s="179">
        <f>IF(U57="F",N54*12,SUM(N55*9,N56))</f>
        <v>0</v>
      </c>
      <c r="O53" s="49" t="s">
        <v>51</v>
      </c>
      <c r="P53" s="153" t="s">
        <v>126</v>
      </c>
      <c r="Q53" s="153" t="s">
        <v>127</v>
      </c>
      <c r="R53" s="11"/>
      <c r="S53" s="12"/>
      <c r="T53" s="90"/>
      <c r="V53" s="267"/>
    </row>
    <row r="54" spans="1:24" outlineLevel="1" x14ac:dyDescent="0.25">
      <c r="A54" s="13" t="str">
        <f>ROUND(P54*100, 2)&amp;"% Avg. Fiscal Effort, "&amp;ROUND(Q54, 2)&amp;" Avg. Calendar Months"</f>
        <v>0% Avg. Fiscal Effort, 0 Avg. Calendar Months</v>
      </c>
      <c r="B54" s="55">
        <f>(O54*J54)-Budget!B54</f>
        <v>0</v>
      </c>
      <c r="C54" s="55">
        <f>(IF($J$6&gt;1,IF($U$1&lt;&gt;0,IF(O54*(1+$O$6)&lt;=$U$1,O54*K54*(1+$O$6),$U$1*K54),O54*K54*(1+$O$6)),0))-Budget!C54</f>
        <v>0</v>
      </c>
      <c r="D54" s="55">
        <f>(IF($J$6&gt;2,IF($U$1&lt;&gt;0,IF(O54*(1+$O$6)^2&lt;=$U$1,O54*L54*(1+$O$6)^2,$U$1*L54),O54*L54*(1+$O$6)^2),0))-Budget!D54</f>
        <v>0</v>
      </c>
      <c r="E54" s="55">
        <f>(IF($J$6&gt;3,IF($U$1&lt;&gt;0,IF(O54*(1+$O$6)^3&lt;=$U$1,O54*M54*(1+$O$6)^3,$U$1*M54),O54*M54*(1+$O$6)^3),0))-Budget!E54</f>
        <v>0</v>
      </c>
      <c r="F54" s="55">
        <f>(IF($J$6&gt;4,IF($U$1&lt;&gt;0,IF(O54*(1+$O$6)^4&lt;=$U$1,O54*N54*(1+$O$6)^4,$U$1*N54),O54*N54*(1+$O$6)^4),0))-Budget!F54</f>
        <v>0</v>
      </c>
      <c r="G54" s="54">
        <f>SUM(B54:F54)</f>
        <v>0</v>
      </c>
      <c r="H54" s="14"/>
      <c r="I54" s="106" t="s">
        <v>26</v>
      </c>
      <c r="J54" s="17">
        <f>Budget!J54</f>
        <v>0</v>
      </c>
      <c r="K54" s="17">
        <f>Budget!K54</f>
        <v>0</v>
      </c>
      <c r="L54" s="17">
        <f>Budget!L54</f>
        <v>0</v>
      </c>
      <c r="M54" s="17">
        <f>Budget!M54</f>
        <v>0</v>
      </c>
      <c r="N54" s="17">
        <f>Budget!N54</f>
        <v>0</v>
      </c>
      <c r="O54" s="145">
        <f>IF(U57="F",IF($U$1&lt;&gt;0,IF(T57&gt;$U$1,$U$1,T57),T57),0)</f>
        <v>0</v>
      </c>
      <c r="P54" s="154">
        <f>SUM(J53:N53)/(ROUNDUP($J$6,0)*12)</f>
        <v>0</v>
      </c>
      <c r="Q54" s="155">
        <f>(SUM(J53:N53)/(CEILING($J$6*12,12)))*12</f>
        <v>0</v>
      </c>
      <c r="T54" s="90"/>
      <c r="V54" s="267"/>
      <c r="X54" s="18"/>
    </row>
    <row r="55" spans="1:24" outlineLevel="1" x14ac:dyDescent="0.25">
      <c r="A55" s="481" t="str">
        <f>ROUND(P54*100,2)&amp;"% Annualized Effort, "&amp;ROUND(Q55,2)&amp;" Avg. Academic Months
"&amp;IF(SUM(J56:N56)&gt;0," and "&amp;Q56 &amp;" Avg. Summer Months", "")</f>
        <v xml:space="preserve">0% Annualized Effort, 0 Avg. Academic Months
</v>
      </c>
      <c r="B55" s="55">
        <f>(J55*O55)-Budget!B55</f>
        <v>0</v>
      </c>
      <c r="C55" s="55">
        <f>(IF($J$6&gt;1,IF($U$1&lt;&gt;0,IF(O55*(1+$O$6)&lt;=$U$1*0.75,O55*K55*(1+$O$6),$U$1*0.75*K55),O55*K55*(1+$O$6)),0))-Budget!C55</f>
        <v>0</v>
      </c>
      <c r="D55" s="55">
        <f>(IF($J$6&gt;2,IF($U$1&lt;&gt;0,IF(O55*(1+$O$6)^2&lt;=$U$1*0.75,O55*L55*(1+$O$6)^2,$U$1*0.75*L55),O55*L55*(1+$O$6)^2),0))-Budget!D55</f>
        <v>0</v>
      </c>
      <c r="E55" s="55">
        <f>(IF($J$6&gt;3,IF($U$1&lt;&gt;0,IF(O55*(1+$O$6)^3&lt;=$U$1*0.75,O55*M55*(1+$O$6)^3,$U$1*0.75*M55),O55*M55*(1+$O$6)^3),0))-Budget!E55</f>
        <v>0</v>
      </c>
      <c r="F55" s="55">
        <f>(IF($J$6&gt;4,IF($U$1&lt;&gt;0,IF(O55*(1+$O$6)^4&lt;=$U$1*0.75,O55*N55*(1+$O$6)^4,$U$1*0.75*N55),O55*N55*(1+$O$6)^4),0))-Budget!F55</f>
        <v>0</v>
      </c>
      <c r="G55" s="54">
        <f>SUM(B55:F55)</f>
        <v>0</v>
      </c>
      <c r="H55" s="14"/>
      <c r="I55" s="106" t="s">
        <v>15</v>
      </c>
      <c r="J55" s="17">
        <f>Budget!J55</f>
        <v>0</v>
      </c>
      <c r="K55" s="17">
        <f>Budget!K55</f>
        <v>0</v>
      </c>
      <c r="L55" s="17">
        <f>Budget!L55</f>
        <v>0</v>
      </c>
      <c r="M55" s="17">
        <f>Budget!M55</f>
        <v>0</v>
      </c>
      <c r="N55" s="17">
        <f>Budget!N55</f>
        <v>0</v>
      </c>
      <c r="O55" s="145">
        <f>IF(U57="A",IF($U$1&lt;&gt;0,IF(T57&gt;($U$1/12*9),($U$1/12*9),T57),T57),0)</f>
        <v>0</v>
      </c>
      <c r="P55" s="211"/>
      <c r="Q55" s="156">
        <f>((SUM(J53:N53)-SUM(J56:N56))/(CEILING($J$6*9,9)))*9</f>
        <v>0</v>
      </c>
      <c r="R55" s="12"/>
      <c r="S55" s="12"/>
      <c r="T55" s="90"/>
      <c r="V55" s="267"/>
    </row>
    <row r="56" spans="1:24" outlineLevel="1" x14ac:dyDescent="0.25">
      <c r="A56" s="481"/>
      <c r="B56" s="55">
        <f>(J56/3*O56)-Budget!B56</f>
        <v>0</v>
      </c>
      <c r="C56" s="55">
        <f>(IF($J$6&gt;1,IF($U$1&lt;&gt;0,IF(O56*(1+$O$6)&lt;=$U$1*0.25,O56*K56/3*(1+$O$6),$U$1*0.25*K56/3),O56*K56/3*(1+$O$6)),0))-Budget!C56</f>
        <v>0</v>
      </c>
      <c r="D56" s="55">
        <f>(IF($J$6&gt;2,IF($U$1&lt;&gt;0,IF(O56*(1+$O$6)^2&lt;=$U$1*0.25,O56*L56/3*(1+$O$6)^2,$U$1*0.25*L56/3),O56*L56/3*(1+$O$6)^2),0))-Budget!D56</f>
        <v>0</v>
      </c>
      <c r="E56" s="55">
        <f>(IF($J$6&gt;3,IF($U$1&lt;&gt;0,IF(O56*(1+$O$6)^3&lt;=$U$1*0.25,O56*M56/3*(1+$O$6)^3,$U$1*0.25*M56/3),O56*M56/3*(1+$O$6)^3),0))-Budget!E56</f>
        <v>0</v>
      </c>
      <c r="F56" s="55">
        <f>(IF($J$6&gt;4,IF($U$1&lt;&gt;0,IF(O56*(1+$O$6)^4&lt;=$U$1*0.25,O56*N56/3*(1+$O$6)^4,$U$1*0.25*N56/3),O56*N56/3*(1+$O$6)^4),0))-Budget!F56</f>
        <v>0</v>
      </c>
      <c r="G56" s="54">
        <f>SUM(B56:F56)</f>
        <v>0</v>
      </c>
      <c r="H56" s="14"/>
      <c r="I56" s="106" t="s">
        <v>17</v>
      </c>
      <c r="J56" s="16">
        <f>Budget!J56</f>
        <v>0</v>
      </c>
      <c r="K56" s="16">
        <f>Budget!K56</f>
        <v>0</v>
      </c>
      <c r="L56" s="16">
        <f>Budget!L56</f>
        <v>0</v>
      </c>
      <c r="M56" s="16">
        <f>Budget!M56</f>
        <v>0</v>
      </c>
      <c r="N56" s="16">
        <f>Budget!N56</f>
        <v>0</v>
      </c>
      <c r="O56" s="145">
        <f>IF(U57="A",IF($U$1&lt;&gt;0,IF(T57*0.000731*456&gt;($U$1/12*3),($U$1/12*3),T57*0.000731*456),T57*0.000731*456),0)</f>
        <v>0</v>
      </c>
      <c r="P56" s="157"/>
      <c r="Q56" s="157">
        <f>((SUM(J53:N53)-SUM(J55:N55)*9)/(CEILING($J$6*3,3)))*3</f>
        <v>0</v>
      </c>
      <c r="R56" s="12"/>
      <c r="S56" s="12"/>
      <c r="V56" s="267"/>
    </row>
    <row r="57" spans="1:24" outlineLevel="1" x14ac:dyDescent="0.25">
      <c r="A57" s="19"/>
      <c r="B57" s="55"/>
      <c r="C57" s="55"/>
      <c r="D57" s="56"/>
      <c r="E57" s="56"/>
      <c r="F57" s="56"/>
      <c r="G57" s="57"/>
      <c r="H57" s="20"/>
      <c r="I57" s="169" t="s">
        <v>109</v>
      </c>
      <c r="J57" s="180">
        <f>SUM(B54:B56)*$V57</f>
        <v>0</v>
      </c>
      <c r="K57" s="180">
        <f>SUM(C54:C56)*$V57</f>
        <v>0</v>
      </c>
      <c r="L57" s="180">
        <f>SUM(D54:D56)*$V57</f>
        <v>0</v>
      </c>
      <c r="M57" s="180">
        <f>SUM(E54:E56)*$V57</f>
        <v>0</v>
      </c>
      <c r="N57" s="180">
        <f>SUM(F54:F56)*$V57</f>
        <v>0</v>
      </c>
      <c r="O57" s="22"/>
      <c r="P57" s="157"/>
      <c r="Q57" s="157"/>
      <c r="R57" s="12"/>
      <c r="S57" s="12"/>
      <c r="T57" s="171">
        <f>Budget!T57</f>
        <v>0</v>
      </c>
      <c r="U57" s="172">
        <f>Budget!U57</f>
        <v>0</v>
      </c>
      <c r="V57" s="273">
        <f>Budget!V57</f>
        <v>0</v>
      </c>
      <c r="W57" s="173"/>
    </row>
    <row r="58" spans="1:24" outlineLevel="1" x14ac:dyDescent="0.25">
      <c r="A58" s="282" t="str">
        <f>Budget!A58</f>
        <v>TBN, Role (with salary cap cost share)</v>
      </c>
      <c r="B58" s="55"/>
      <c r="C58" s="56"/>
      <c r="D58" s="56"/>
      <c r="E58" s="56"/>
      <c r="F58" s="56"/>
      <c r="G58" s="54"/>
      <c r="I58" s="106" t="s">
        <v>128</v>
      </c>
      <c r="J58" s="179">
        <f>IF(U62="F",J59*12,SUM(J60*9,J61))</f>
        <v>0</v>
      </c>
      <c r="K58" s="179">
        <f>IF(U62="F",K59*12,SUM(K60*9,K61))</f>
        <v>0</v>
      </c>
      <c r="L58" s="179">
        <f>IF(U62="F",L59*12,SUM(L60*9,L61))</f>
        <v>0</v>
      </c>
      <c r="M58" s="179">
        <f>IF(U62="F",M59*12,SUM(M60*9,M61))</f>
        <v>0</v>
      </c>
      <c r="N58" s="179">
        <f>IF(U62="F",N59*12,SUM(N60*9,N61))</f>
        <v>0</v>
      </c>
      <c r="O58" s="49" t="s">
        <v>51</v>
      </c>
      <c r="P58" s="153" t="s">
        <v>126</v>
      </c>
      <c r="Q58" s="153" t="s">
        <v>127</v>
      </c>
      <c r="R58" s="11"/>
      <c r="S58" s="12"/>
      <c r="T58" s="90"/>
      <c r="V58" s="267"/>
    </row>
    <row r="59" spans="1:24" outlineLevel="1" x14ac:dyDescent="0.25">
      <c r="A59" s="13" t="str">
        <f>ROUND(P59*100, 2)&amp;"% Avg. Fiscal Effort, "&amp;ROUND(Q59, 2)&amp;" Avg. Calendar Months"</f>
        <v>0% Avg. Fiscal Effort, 0 Avg. Calendar Months</v>
      </c>
      <c r="B59" s="55">
        <f>(O59*J59)-Budget!B59</f>
        <v>0</v>
      </c>
      <c r="C59" s="55">
        <f>(IF($J$6&gt;1,IF($U$1&lt;&gt;0,IF(O59*(1+$O$6)&lt;=$U$1,O59*K59*(1+$O$6),$U$1*K59),O59*K59*(1+$O$6)),0))-Budget!C59</f>
        <v>0</v>
      </c>
      <c r="D59" s="55">
        <f>(IF($J$6&gt;2,IF($U$1&lt;&gt;0,IF(O59*(1+$O$6)^2&lt;=$U$1,O59*L59*(1+$O$6)^2,$U$1*L59),O59*L59*(1+$O$6)^2),0))-Budget!D59</f>
        <v>0</v>
      </c>
      <c r="E59" s="55">
        <f>(IF($J$6&gt;3,IF($U$1&lt;&gt;0,IF(O59*(1+$O$6)^3&lt;=$U$1,O59*M59*(1+$O$6)^3,$U$1*M59),O59*M59*(1+$O$6)^3),0))-Budget!E59</f>
        <v>0</v>
      </c>
      <c r="F59" s="55">
        <f>(IF($J$6&gt;4,IF($U$1&lt;&gt;0,IF(O59*(1+$O$6)^4&lt;=$U$1,O59*N59*(1+$O$6)^4,$U$1*N59),O59*N59*(1+$O$6)^4),0))-Budget!F59</f>
        <v>0</v>
      </c>
      <c r="G59" s="54">
        <f>SUM(B59:F59)</f>
        <v>0</v>
      </c>
      <c r="H59" s="14"/>
      <c r="I59" s="106" t="s">
        <v>26</v>
      </c>
      <c r="J59" s="17">
        <f>Budget!J59</f>
        <v>0</v>
      </c>
      <c r="K59" s="17">
        <f>Budget!K59</f>
        <v>0</v>
      </c>
      <c r="L59" s="17">
        <f>Budget!L59</f>
        <v>0</v>
      </c>
      <c r="M59" s="17">
        <f>Budget!M59</f>
        <v>0</v>
      </c>
      <c r="N59" s="17">
        <f>Budget!N59</f>
        <v>0</v>
      </c>
      <c r="O59" s="145">
        <f>IF(U62="F",IF($U$1&lt;&gt;0,IF(T62&gt;$U$1,$U$1,T62),T62),0)</f>
        <v>0</v>
      </c>
      <c r="P59" s="154">
        <f>SUM(J58:N58)/(ROUNDUP($J$6,0)*12)</f>
        <v>0</v>
      </c>
      <c r="Q59" s="155">
        <f>(SUM(J58:N58)/(CEILING($J$6*12,12)))*12</f>
        <v>0</v>
      </c>
      <c r="T59" s="90"/>
      <c r="V59" s="267"/>
      <c r="X59" s="18"/>
    </row>
    <row r="60" spans="1:24" outlineLevel="1" x14ac:dyDescent="0.25">
      <c r="A60" s="481" t="str">
        <f>ROUND(P59*100,2)&amp;"% Annualized Effort, "&amp;ROUND(Q60,2)&amp;" Avg. Academic Months
"&amp;IF(SUM(J61:N61)&gt;0," and "&amp;Q61 &amp;" Avg. Summer Months", "")</f>
        <v xml:space="preserve">0% Annualized Effort, 0 Avg. Academic Months
</v>
      </c>
      <c r="B60" s="274">
        <f>(J60*O60)-Budget!B60</f>
        <v>0</v>
      </c>
      <c r="C60" s="55">
        <f>(IF($J$6&gt;1,IF($U$1&lt;&gt;0,IF(O60*(1+$O$6)&lt;=$U$1*0.75,O60*K60*(1+$O$6),$U$1*0.75*K60),O60*K60*(1+$O$6)),0))-Budget!C60</f>
        <v>0</v>
      </c>
      <c r="D60" s="55">
        <f>(IF($J$6&gt;2,IF($U$1&lt;&gt;0,IF(O60*(1+$O$6)^2&lt;=$U$1*0.75,O60*L60*(1+$O$6)^2,$U$1*0.75*L60),O60*L60*(1+$O$6)^2),0))-Budget!D60</f>
        <v>0</v>
      </c>
      <c r="E60" s="55">
        <f>(IF($J$6&gt;3,IF($U$1&lt;&gt;0,IF(O60*(1+$O$6)^3&lt;=$U$1*0.75,O60*M60*(1+$O$6)^3,$U$1*0.75*M60),O60*M60*(1+$O$6)^3),0))-Budget!E60</f>
        <v>0</v>
      </c>
      <c r="F60" s="55">
        <f>(IF($J$6&gt;4,IF($U$1&lt;&gt;0,IF(O60*(1+$O$6)^4&lt;=$U$1*0.75,O60*N60*(1+$O$6)^4,$U$1*0.75*N60),O60*N60*(1+$O$6)^4),0))-Budget!F60</f>
        <v>0</v>
      </c>
      <c r="G60" s="54">
        <f>SUM(B60:F60)</f>
        <v>0</v>
      </c>
      <c r="H60" s="14"/>
      <c r="I60" s="106" t="s">
        <v>15</v>
      </c>
      <c r="J60" s="17">
        <f>Budget!J60</f>
        <v>0</v>
      </c>
      <c r="K60" s="17">
        <f>Budget!K60</f>
        <v>0</v>
      </c>
      <c r="L60" s="17">
        <f>Budget!L60</f>
        <v>0</v>
      </c>
      <c r="M60" s="17">
        <f>Budget!M60</f>
        <v>0</v>
      </c>
      <c r="N60" s="17">
        <f>Budget!N60</f>
        <v>0</v>
      </c>
      <c r="O60" s="145">
        <f>IF(U62="A",IF($U$1&lt;&gt;0,IF(T62&gt;($U$1/12*9),($U$1/12*9),T62),T62),0)</f>
        <v>0</v>
      </c>
      <c r="P60" s="211"/>
      <c r="Q60" s="156">
        <f>((SUM(J58:N58)-SUM(J61:N61))/(CEILING($J$6*9,9)))*9</f>
        <v>0</v>
      </c>
      <c r="R60" s="12"/>
      <c r="S60" s="12"/>
      <c r="T60" s="90"/>
      <c r="V60" s="267"/>
    </row>
    <row r="61" spans="1:24" outlineLevel="1" x14ac:dyDescent="0.25">
      <c r="A61" s="481"/>
      <c r="B61" s="274">
        <f>(J61/3*O61)-Budget!B61</f>
        <v>0</v>
      </c>
      <c r="C61" s="55">
        <f>(IF($J$6&gt;1,IF($U$1&lt;&gt;0,IF(O61*(1+$O$6)&lt;=$U$1*0.25,O61*K61/3*(1+$O$6),$U$1*0.25*K61/3),O61*K61/3*(1+$O$6)),0))-Budget!C61</f>
        <v>0</v>
      </c>
      <c r="D61" s="55">
        <f>(IF($J$6&gt;2,IF($U$1&lt;&gt;0,IF(O61*(1+$O$6)^2&lt;=$U$1*0.25,O61*L61/3*(1+$O$6)^2,$U$1*0.25*L61/3),O61*L61/3*(1+$O$6)^2),0))-Budget!D61</f>
        <v>0</v>
      </c>
      <c r="E61" s="55">
        <f>(IF($J$6&gt;3,IF($U$1&lt;&gt;0,IF(O61*(1+$O$6)^3&lt;=$U$1*0.25,O61*M61/3*(1+$O$6)^3,$U$1*0.25*M61/3),O61*M61/3*(1+$O$6)^3),0))-Budget!E61</f>
        <v>0</v>
      </c>
      <c r="F61" s="55">
        <f>(IF($J$6&gt;4,IF($U$1&lt;&gt;0,IF(O61*(1+$O$6)^4&lt;=$U$1*0.25,O61*N61/3*(1+$O$6)^4,$U$1*0.25*N61/3),O61*N61/3*(1+$O$6)^4),0))-Budget!F61</f>
        <v>0</v>
      </c>
      <c r="G61" s="54">
        <f>SUM(B61:F61)</f>
        <v>0</v>
      </c>
      <c r="H61" s="14"/>
      <c r="I61" s="106" t="s">
        <v>17</v>
      </c>
      <c r="J61" s="16">
        <f>Budget!J61</f>
        <v>0</v>
      </c>
      <c r="K61" s="16">
        <f>Budget!K61</f>
        <v>0</v>
      </c>
      <c r="L61" s="16">
        <f>Budget!L61</f>
        <v>0</v>
      </c>
      <c r="M61" s="16">
        <f>Budget!M61</f>
        <v>0</v>
      </c>
      <c r="N61" s="16">
        <f>Budget!N61</f>
        <v>0</v>
      </c>
      <c r="O61" s="145">
        <f>IF(U62="A",IF($U$1&lt;&gt;0,IF(T62*0.000731*456&gt;($U$1/12*3),($U$1/12*3),T62*0.000731*456),T62*0.000731*456),0)</f>
        <v>0</v>
      </c>
      <c r="P61" s="157"/>
      <c r="Q61" s="157">
        <f>((SUM(J58:N58)-SUM(J60:N60)*9)/(CEILING($J$6*3,3)))*3</f>
        <v>0</v>
      </c>
      <c r="R61" s="12"/>
      <c r="S61" s="12"/>
      <c r="V61" s="267"/>
    </row>
    <row r="62" spans="1:24" outlineLevel="1" x14ac:dyDescent="0.25">
      <c r="A62" s="19"/>
      <c r="B62" s="55"/>
      <c r="C62" s="55"/>
      <c r="D62" s="56"/>
      <c r="E62" s="56"/>
      <c r="F62" s="56"/>
      <c r="G62" s="57"/>
      <c r="H62" s="20"/>
      <c r="I62" s="169" t="s">
        <v>109</v>
      </c>
      <c r="J62" s="180">
        <f>SUM(B59:B61)*$V62</f>
        <v>0</v>
      </c>
      <c r="K62" s="180">
        <f>SUM(C59:C61)*$V62</f>
        <v>0</v>
      </c>
      <c r="L62" s="180">
        <f>SUM(D59:D61)*$V62</f>
        <v>0</v>
      </c>
      <c r="M62" s="180">
        <f>SUM(E59:E61)*$V62</f>
        <v>0</v>
      </c>
      <c r="N62" s="180">
        <f>SUM(F59:F61)*$V62</f>
        <v>0</v>
      </c>
      <c r="O62" s="22"/>
      <c r="P62" s="157"/>
      <c r="Q62" s="157"/>
      <c r="R62" s="12"/>
      <c r="S62" s="12"/>
      <c r="T62" s="171">
        <f>Budget!T62</f>
        <v>0</v>
      </c>
      <c r="U62" s="172">
        <f>Budget!U62</f>
        <v>0</v>
      </c>
      <c r="V62" s="273">
        <f>Budget!V62</f>
        <v>0</v>
      </c>
      <c r="W62" s="173"/>
    </row>
    <row r="63" spans="1:24" outlineLevel="1" x14ac:dyDescent="0.25">
      <c r="A63" s="282" t="str">
        <f>Budget!A63</f>
        <v>TBN, Role (with salary cap cost share)</v>
      </c>
      <c r="B63" s="55"/>
      <c r="C63" s="56"/>
      <c r="D63" s="56"/>
      <c r="E63" s="56"/>
      <c r="F63" s="56"/>
      <c r="G63" s="54"/>
      <c r="I63" s="106" t="s">
        <v>128</v>
      </c>
      <c r="J63" s="179">
        <f>IF(U67="F",J64*12,SUM(J65*9,J66))</f>
        <v>0</v>
      </c>
      <c r="K63" s="179">
        <f>IF(U67="F",K64*12,SUM(K65*9,K66))</f>
        <v>0</v>
      </c>
      <c r="L63" s="179">
        <f>IF(U67="F",L64*12,SUM(L65*9,L66))</f>
        <v>0</v>
      </c>
      <c r="M63" s="179">
        <f>IF(U67="F",M64*12,SUM(M65*9,M66))</f>
        <v>0</v>
      </c>
      <c r="N63" s="179">
        <f>IF(U67="F",N64*12,SUM(N65*9,N66))</f>
        <v>0</v>
      </c>
      <c r="O63" s="49" t="s">
        <v>51</v>
      </c>
      <c r="P63" s="153" t="s">
        <v>126</v>
      </c>
      <c r="Q63" s="153" t="s">
        <v>127</v>
      </c>
      <c r="R63" s="11"/>
      <c r="S63" s="12"/>
      <c r="T63" s="90"/>
      <c r="V63" s="267"/>
    </row>
    <row r="64" spans="1:24" outlineLevel="1" x14ac:dyDescent="0.25">
      <c r="A64" s="13" t="str">
        <f>ROUND(P64*100, 2)&amp;"% Avg. Fiscal Effort, "&amp;ROUND(Q64, 2)&amp;" Avg. Calendar Months"</f>
        <v>0% Avg. Fiscal Effort, 0 Avg. Calendar Months</v>
      </c>
      <c r="B64" s="55">
        <f>(O64*J64)-Budget!B64</f>
        <v>0</v>
      </c>
      <c r="C64" s="55">
        <f>(IF($J$6&gt;1,IF($U$1&lt;&gt;0,IF(O64*(1+$O$6)&lt;=$U$1,O64*K64*(1+$O$6),$U$1*K64),O64*K64*(1+$O$6)),0))-Budget!C64</f>
        <v>0</v>
      </c>
      <c r="D64" s="55">
        <f>(IF($J$6&gt;2,IF($U$1&lt;&gt;0,IF(O64*(1+$O$6)^2&lt;=$U$1,O64*L64*(1+$O$6)^2,$U$1*L64),O64*L64*(1+$O$6)^2),0))-Budget!D64</f>
        <v>0</v>
      </c>
      <c r="E64" s="55">
        <f>(IF($J$6&gt;3,IF($U$1&lt;&gt;0,IF(O64*(1+$O$6)^3&lt;=$U$1,O64*M64*(1+$O$6)^3,$U$1*M64),O64*M64*(1+$O$6)^3),0))-Budget!E64</f>
        <v>0</v>
      </c>
      <c r="F64" s="55">
        <f>(IF($J$6&gt;4,IF($U$1&lt;&gt;0,IF(O64*(1+$O$6)^4&lt;=$U$1,O64*N64*(1+$O$6)^4,$U$1*N64),O64*N64*(1+$O$6)^4),0))-Budget!F64</f>
        <v>0</v>
      </c>
      <c r="G64" s="54">
        <f>SUM(B64:F64)</f>
        <v>0</v>
      </c>
      <c r="H64" s="14"/>
      <c r="I64" s="106" t="s">
        <v>26</v>
      </c>
      <c r="J64" s="17">
        <f>Budget!J64</f>
        <v>0</v>
      </c>
      <c r="K64" s="17">
        <f>Budget!K64</f>
        <v>0</v>
      </c>
      <c r="L64" s="17">
        <f>Budget!L64</f>
        <v>0</v>
      </c>
      <c r="M64" s="17">
        <f>Budget!M64</f>
        <v>0</v>
      </c>
      <c r="N64" s="17">
        <f>Budget!N64</f>
        <v>0</v>
      </c>
      <c r="O64" s="145">
        <f>IF(U67="F",IF($U$1&lt;&gt;0,IF(T67&gt;$U$1,$U$1,T67),T67),0)</f>
        <v>0</v>
      </c>
      <c r="P64" s="154">
        <f>SUM(J63:N63)/(ROUNDUP($J$6,0)*12)</f>
        <v>0</v>
      </c>
      <c r="Q64" s="155">
        <f>(SUM(J63:N63)/(CEILING($J$6*12,12)))*12</f>
        <v>0</v>
      </c>
      <c r="T64" s="90"/>
      <c r="V64" s="267"/>
      <c r="X64" s="18"/>
    </row>
    <row r="65" spans="1:23" outlineLevel="1" x14ac:dyDescent="0.25">
      <c r="A65" s="481" t="str">
        <f>ROUND(P64*100,2)&amp;"% Annualized Effort, "&amp;ROUND(Q65,2)&amp;" Avg. Academic Months
"&amp;IF(SUM(J66:N66)&gt;0," and "&amp;Q66 &amp;" Avg. Summer Months", "")</f>
        <v xml:space="preserve">0% Annualized Effort, 0 Avg. Academic Months
</v>
      </c>
      <c r="B65" s="55">
        <f>(J65*O65)-Budget!B65</f>
        <v>0</v>
      </c>
      <c r="C65" s="55">
        <f>(IF($J$6&gt;1,IF($U$1&lt;&gt;0,IF(O65*(1+$O$6)&lt;=$U$1*0.75,O65*K65*(1+$O$6),$U$1*0.75*K65),O65*K65*(1+$O$6)),0))-Budget!C65</f>
        <v>0</v>
      </c>
      <c r="D65" s="55">
        <f>(IF($J$6&gt;2,IF($U$1&lt;&gt;0,IF(O65*(1+$O$6)^2&lt;=$U$1*0.75,O65*L65*(1+$O$6)^2,$U$1*0.75*L65),O65*L65*(1+$O$6)^2),0))-Budget!D65</f>
        <v>0</v>
      </c>
      <c r="E65" s="55">
        <f>(IF($J$6&gt;3,IF($U$1&lt;&gt;0,IF(O65*(1+$O$6)^3&lt;=$U$1*0.75,O65*M65*(1+$O$6)^3,$U$1*0.75*M65),O65*M65*(1+$O$6)^3),0))-Budget!E65</f>
        <v>0</v>
      </c>
      <c r="F65" s="55">
        <f>(IF($J$6&gt;4,IF($U$1&lt;&gt;0,IF(O65*(1+$O$6)^4&lt;=$U$1*0.75,O65*N65*(1+$O$6)^4,$U$1*0.75*N65),O65*N65*(1+$O$6)^4),0))-Budget!F65</f>
        <v>0</v>
      </c>
      <c r="G65" s="54">
        <f>SUM(B65:F65)</f>
        <v>0</v>
      </c>
      <c r="H65" s="14"/>
      <c r="I65" s="106" t="s">
        <v>15</v>
      </c>
      <c r="J65" s="17">
        <f>Budget!J65</f>
        <v>0</v>
      </c>
      <c r="K65" s="17">
        <f>Budget!K65</f>
        <v>0</v>
      </c>
      <c r="L65" s="17">
        <f>Budget!L65</f>
        <v>0</v>
      </c>
      <c r="M65" s="17">
        <f>Budget!M65</f>
        <v>0</v>
      </c>
      <c r="N65" s="17">
        <f>Budget!N65</f>
        <v>0</v>
      </c>
      <c r="O65" s="145">
        <f>IF(U67="A",IF($U$1&lt;&gt;0,IF(T67&gt;($U$1/12*9),($U$1/12*9),T67),T67),0)</f>
        <v>0</v>
      </c>
      <c r="P65" s="211"/>
      <c r="Q65" s="156">
        <f>((SUM(J63:N63)-SUM(J66:N66))/(CEILING($J$6*9,9)))*9</f>
        <v>0</v>
      </c>
      <c r="R65" s="12"/>
      <c r="S65" s="12"/>
      <c r="T65" s="90"/>
      <c r="V65" s="267"/>
    </row>
    <row r="66" spans="1:23" outlineLevel="1" x14ac:dyDescent="0.25">
      <c r="A66" s="481"/>
      <c r="B66" s="55">
        <f>(J66/3*O66)-Budget!B66</f>
        <v>0</v>
      </c>
      <c r="C66" s="55">
        <f>(IF($J$6&gt;1,IF($U$1&lt;&gt;0,IF(O66*(1+$O$6)&lt;=$U$1*0.25,O66*K66/3*(1+$O$6),$U$1*0.25*K66/3),O66*K66/3*(1+$O$6)),0))-Budget!C66</f>
        <v>0</v>
      </c>
      <c r="D66" s="55">
        <f>(IF($J$6&gt;2,IF($U$1&lt;&gt;0,IF(O66*(1+$O$6)^2&lt;=$U$1*0.25,O66*L66/3*(1+$O$6)^2,$U$1*0.25*L66/3),O66*L66/3*(1+$O$6)^2),0))-Budget!D66</f>
        <v>0</v>
      </c>
      <c r="E66" s="55">
        <f>(IF($J$6&gt;3,IF($U$1&lt;&gt;0,IF(O66*(1+$O$6)^3&lt;=$U$1*0.25,O66*M66/3*(1+$O$6)^3,$U$1*0.25*M66/3),O66*M66/3*(1+$O$6)^3),0))-Budget!E66</f>
        <v>0</v>
      </c>
      <c r="F66" s="55">
        <f>(IF($J$6&gt;4,IF($U$1&lt;&gt;0,IF(O66*(1+$O$6)^4&lt;=$U$1*0.25,O66*N66/3*(1+$O$6)^4,$U$1*0.25*N66/3),O66*N66/3*(1+$O$6)^4),0))-Budget!F66</f>
        <v>0</v>
      </c>
      <c r="G66" s="54">
        <f>SUM(B66:F66)</f>
        <v>0</v>
      </c>
      <c r="H66" s="14"/>
      <c r="I66" s="106" t="s">
        <v>17</v>
      </c>
      <c r="J66" s="16">
        <f>Budget!J66</f>
        <v>0</v>
      </c>
      <c r="K66" s="16">
        <f>Budget!K66</f>
        <v>0</v>
      </c>
      <c r="L66" s="16">
        <f>Budget!L66</f>
        <v>0</v>
      </c>
      <c r="M66" s="16">
        <f>Budget!M66</f>
        <v>0</v>
      </c>
      <c r="N66" s="16">
        <f>Budget!N66</f>
        <v>0</v>
      </c>
      <c r="O66" s="145">
        <f>IF(U67="A",IF($U$1&lt;&gt;0,IF(T67*0.000731*456&gt;($U$1/12*3),($U$1/12*3),T67*0.000731*456),T67*0.000731*456),0)</f>
        <v>0</v>
      </c>
      <c r="P66" s="157"/>
      <c r="Q66" s="157">
        <f>((SUM(J63:N63)-SUM(J65:N65)*9)/(CEILING($J$6*3,3)))*3</f>
        <v>0</v>
      </c>
      <c r="R66" s="12"/>
      <c r="S66" s="12"/>
      <c r="V66" s="267"/>
    </row>
    <row r="67" spans="1:23" outlineLevel="1" x14ac:dyDescent="0.25">
      <c r="A67" s="19"/>
      <c r="B67" s="55"/>
      <c r="C67" s="55"/>
      <c r="D67" s="56"/>
      <c r="E67" s="56"/>
      <c r="F67" s="56"/>
      <c r="G67" s="57"/>
      <c r="H67" s="20"/>
      <c r="I67" s="169" t="s">
        <v>109</v>
      </c>
      <c r="J67" s="180">
        <f>SUM(B64:B66)*$V67</f>
        <v>0</v>
      </c>
      <c r="K67" s="180">
        <f>SUM(C64:C66)*$V67</f>
        <v>0</v>
      </c>
      <c r="L67" s="180">
        <f>SUM(D64:D66)*$V67</f>
        <v>0</v>
      </c>
      <c r="M67" s="180">
        <f>SUM(E64:E66)*$V67</f>
        <v>0</v>
      </c>
      <c r="N67" s="180">
        <f>SUM(F64:F66)*$V67</f>
        <v>0</v>
      </c>
      <c r="O67" s="22"/>
      <c r="P67" s="157"/>
      <c r="Q67" s="157"/>
      <c r="R67" s="12"/>
      <c r="S67" s="12"/>
      <c r="T67" s="171">
        <f>Budget!T67</f>
        <v>0</v>
      </c>
      <c r="U67" s="172">
        <f>Budget!U67</f>
        <v>0</v>
      </c>
      <c r="V67" s="273">
        <f>Budget!V67</f>
        <v>0</v>
      </c>
      <c r="W67" s="173"/>
    </row>
    <row r="68" spans="1:23" outlineLevel="1" x14ac:dyDescent="0.25">
      <c r="A68" s="446" t="s">
        <v>195</v>
      </c>
      <c r="B68" s="55"/>
      <c r="C68" s="55"/>
      <c r="D68" s="55"/>
      <c r="E68" s="55"/>
      <c r="F68" s="55"/>
      <c r="G68" s="54"/>
      <c r="H68" s="14"/>
      <c r="I68" s="106" t="s">
        <v>128</v>
      </c>
      <c r="J68" s="179">
        <f>J69*12</f>
        <v>0</v>
      </c>
      <c r="K68" s="179">
        <f>K69*12</f>
        <v>0</v>
      </c>
      <c r="L68" s="179">
        <f>L69*12</f>
        <v>0</v>
      </c>
      <c r="M68" s="179">
        <f>M69*12</f>
        <v>0</v>
      </c>
      <c r="N68" s="179">
        <f>N69*12</f>
        <v>0</v>
      </c>
      <c r="O68" s="102" t="s">
        <v>51</v>
      </c>
      <c r="P68" s="153" t="s">
        <v>126</v>
      </c>
      <c r="Q68" s="153" t="s">
        <v>127</v>
      </c>
      <c r="U68" s="1"/>
      <c r="V68" s="267"/>
    </row>
    <row r="69" spans="1:23" outlineLevel="1" x14ac:dyDescent="0.25">
      <c r="A69" s="13" t="str">
        <f>ROUND(P69*100, 2)&amp;"% Avg. Fiscal Effort, "&amp;ROUND(Q69, 2)&amp;" Avg. Calendar Months"</f>
        <v>0% Avg. Fiscal Effort, 0 Avg. Calendar Months</v>
      </c>
      <c r="B69" s="55">
        <f>O69*J69</f>
        <v>0</v>
      </c>
      <c r="C69" s="55">
        <f>IF($J$6&gt;1,IF($U$1&lt;&gt;0,IF(O69*(1+$O$6)&lt;=$U$1,O69*K69*(1+$O$6),$U$1*K69),O69*K69*(1+$O$6)),0)</f>
        <v>0</v>
      </c>
      <c r="D69" s="55">
        <f>IF($J$6&gt;2,IF($U$1&lt;&gt;0,IF(O69*(1+$O$6)^2&lt;=$U$1,O69*L69*(1+$O$6)^2,$U$1*L69),O69*L69*(1+$O$6)^2),0)</f>
        <v>0</v>
      </c>
      <c r="E69" s="55">
        <f>IF($J$6&gt;3,IF($U$1&lt;&gt;0,IF(O69*(1+$O$6)^3&lt;=$U$1,O69*M69*(1+$O$6)^3,$U$1*M69),O69*M69*(1+$O$6)^3),0)</f>
        <v>0</v>
      </c>
      <c r="F69" s="55">
        <f>IF($J$6&gt;4,IF($U$1&lt;&gt;0,IF(O69*(1+$O$6)^4&lt;=$U$1,O69*N69*(1+$O$6)^4,$U$1*N69),O69*N69*(1+$O$6)^4),0)</f>
        <v>0</v>
      </c>
      <c r="G69" s="54">
        <f>SUM(B69:F69)</f>
        <v>0</v>
      </c>
      <c r="H69" s="14"/>
      <c r="I69" s="106" t="s">
        <v>26</v>
      </c>
      <c r="J69" s="17">
        <v>0</v>
      </c>
      <c r="K69" s="17">
        <f>IF($J$6&gt;1,J69,0)</f>
        <v>0</v>
      </c>
      <c r="L69" s="17">
        <f>IF($J$6&gt;2,K69,0)</f>
        <v>0</v>
      </c>
      <c r="M69" s="17">
        <f>IF($J$6&gt;3,L69,0)</f>
        <v>0</v>
      </c>
      <c r="N69" s="17">
        <f>IF($J$6&gt;4,M69,0)</f>
        <v>0</v>
      </c>
      <c r="O69" s="447">
        <f>T70</f>
        <v>0</v>
      </c>
      <c r="P69" s="154">
        <f>SUM(J68:N68)/(ROUNDUP($J$6,0)*12)</f>
        <v>0</v>
      </c>
      <c r="Q69" s="155">
        <f>(SUM(J68:N68)/(CEILING($J$6*12,12)))*12</f>
        <v>0</v>
      </c>
      <c r="T69" s="2"/>
      <c r="V69" s="275"/>
    </row>
    <row r="70" spans="1:23" outlineLevel="1" x14ac:dyDescent="0.25">
      <c r="B70" s="55"/>
      <c r="C70" s="55"/>
      <c r="D70" s="55"/>
      <c r="E70" s="55"/>
      <c r="F70" s="55"/>
      <c r="G70" s="54"/>
      <c r="H70" s="14"/>
      <c r="I70" s="169" t="s">
        <v>109</v>
      </c>
      <c r="J70" s="180">
        <f>B69*$V70</f>
        <v>0</v>
      </c>
      <c r="K70" s="180">
        <f>C69*$V70</f>
        <v>0</v>
      </c>
      <c r="L70" s="180">
        <f>D69*$V70</f>
        <v>0</v>
      </c>
      <c r="M70" s="180">
        <f>E69*$V70</f>
        <v>0</v>
      </c>
      <c r="N70" s="180">
        <f>F69*$V70</f>
        <v>0</v>
      </c>
      <c r="O70" s="22"/>
      <c r="P70" s="276"/>
      <c r="Q70" s="156"/>
      <c r="T70" s="171">
        <v>0</v>
      </c>
      <c r="U70" s="271" t="s">
        <v>123</v>
      </c>
      <c r="V70" s="272">
        <f>J114</f>
        <v>0.17100000000000001</v>
      </c>
      <c r="W70" s="174"/>
    </row>
    <row r="71" spans="1:23" outlineLevel="1" x14ac:dyDescent="0.25">
      <c r="A71" s="446" t="s">
        <v>195</v>
      </c>
      <c r="B71" s="55"/>
      <c r="C71" s="55"/>
      <c r="D71" s="55"/>
      <c r="E71" s="55"/>
      <c r="F71" s="55"/>
      <c r="G71" s="54"/>
      <c r="H71" s="14"/>
      <c r="I71" s="106" t="s">
        <v>128</v>
      </c>
      <c r="J71" s="179">
        <f>J72*12</f>
        <v>0</v>
      </c>
      <c r="K71" s="179">
        <f>K72*12</f>
        <v>0</v>
      </c>
      <c r="L71" s="179">
        <f>L72*12</f>
        <v>0</v>
      </c>
      <c r="M71" s="179">
        <f>M72*12</f>
        <v>0</v>
      </c>
      <c r="N71" s="179">
        <f>N72*12</f>
        <v>0</v>
      </c>
      <c r="O71" s="102" t="s">
        <v>51</v>
      </c>
      <c r="P71" s="153" t="s">
        <v>126</v>
      </c>
      <c r="Q71" s="153" t="s">
        <v>127</v>
      </c>
      <c r="U71" s="1"/>
      <c r="V71" s="275"/>
    </row>
    <row r="72" spans="1:23" outlineLevel="1" x14ac:dyDescent="0.25">
      <c r="A72" s="13" t="str">
        <f>ROUND(P72*100, 2)&amp;"% Avg. Fiscal Effort, "&amp;ROUND(Q72, 2)&amp;" Avg. Calendar Months"</f>
        <v>0% Avg. Fiscal Effort, 0 Avg. Calendar Months</v>
      </c>
      <c r="B72" s="55">
        <f>O72*J72</f>
        <v>0</v>
      </c>
      <c r="C72" s="55">
        <f>IF($J$6&gt;1,IF($U$1&lt;&gt;0,IF(O72*(1+$O$6)&lt;=$U$1,O72*K72*(1+$O$6),$U$1*K72),O72*K72*(1+$O$6)),0)</f>
        <v>0</v>
      </c>
      <c r="D72" s="55">
        <f>IF($J$6&gt;2,IF($U$1&lt;&gt;0,IF(O72*(1+$O$6)^2&lt;=$U$1,O72*L72*(1+$O$6)^2,$U$1*L72),O72*L72*(1+$O$6)^2),0)</f>
        <v>0</v>
      </c>
      <c r="E72" s="55">
        <f>IF($J$6&gt;3,IF($U$1&lt;&gt;0,IF(O72*(1+$O$6)^3&lt;=$U$1,O72*M72*(1+$O$6)^3,$U$1*M72),O72*M72*(1+$O$6)^3),0)</f>
        <v>0</v>
      </c>
      <c r="F72" s="55">
        <f>IF($J$6&gt;4,IF($U$1&lt;&gt;0,IF(O72*(1+$O$6)^4&lt;=$U$1,O72*N72*(1+$O$6)^4,$U$1*N72),O72*N72*(1+$O$6)^4),0)</f>
        <v>0</v>
      </c>
      <c r="G72" s="54">
        <f>SUM(B72:F72)</f>
        <v>0</v>
      </c>
      <c r="H72" s="14"/>
      <c r="I72" s="106" t="s">
        <v>26</v>
      </c>
      <c r="J72" s="17">
        <v>0</v>
      </c>
      <c r="K72" s="17">
        <f>IF($J$6&gt;1,J72,0)</f>
        <v>0</v>
      </c>
      <c r="L72" s="17">
        <f>IF($J$6&gt;2,K72,0)</f>
        <v>0</v>
      </c>
      <c r="M72" s="17">
        <f>IF($J$6&gt;3,L72,0)</f>
        <v>0</v>
      </c>
      <c r="N72" s="17">
        <f>IF($J$6&gt;4,M72,0)</f>
        <v>0</v>
      </c>
      <c r="O72" s="447">
        <f>T73</f>
        <v>0</v>
      </c>
      <c r="P72" s="154">
        <f>SUM(J71:N71)/(ROUNDUP($J$6,0)*12)</f>
        <v>0</v>
      </c>
      <c r="Q72" s="155">
        <f>(SUM(J71:N71)/(CEILING($J$6*12,12)))*12</f>
        <v>0</v>
      </c>
      <c r="T72" s="2"/>
      <c r="V72" s="275"/>
    </row>
    <row r="73" spans="1:23" outlineLevel="1" x14ac:dyDescent="0.25">
      <c r="B73" s="55"/>
      <c r="C73" s="55"/>
      <c r="D73" s="55"/>
      <c r="E73" s="55"/>
      <c r="F73" s="55"/>
      <c r="G73" s="54"/>
      <c r="H73" s="14"/>
      <c r="I73" s="169" t="s">
        <v>109</v>
      </c>
      <c r="J73" s="180">
        <f>B72*$V73</f>
        <v>0</v>
      </c>
      <c r="K73" s="180">
        <f>C72*$V73</f>
        <v>0</v>
      </c>
      <c r="L73" s="180">
        <f>D72*$V73</f>
        <v>0</v>
      </c>
      <c r="M73" s="180">
        <f>E72*$V73</f>
        <v>0</v>
      </c>
      <c r="N73" s="180">
        <f>F72*$V73</f>
        <v>0</v>
      </c>
      <c r="O73" s="22"/>
      <c r="P73" s="276"/>
      <c r="Q73" s="156"/>
      <c r="T73" s="171">
        <v>0</v>
      </c>
      <c r="U73" s="271" t="s">
        <v>123</v>
      </c>
      <c r="V73" s="272">
        <f>J114</f>
        <v>0.17100000000000001</v>
      </c>
      <c r="W73" s="174"/>
    </row>
    <row r="74" spans="1:23" outlineLevel="1" x14ac:dyDescent="0.25">
      <c r="A74" s="446" t="s">
        <v>195</v>
      </c>
      <c r="B74" s="55"/>
      <c r="C74" s="55"/>
      <c r="D74" s="55"/>
      <c r="E74" s="55"/>
      <c r="F74" s="55"/>
      <c r="G74" s="54"/>
      <c r="H74" s="14"/>
      <c r="I74" s="106" t="s">
        <v>128</v>
      </c>
      <c r="J74" s="179">
        <f>J75*12</f>
        <v>0</v>
      </c>
      <c r="K74" s="179">
        <f>K75*12</f>
        <v>0</v>
      </c>
      <c r="L74" s="179">
        <f>L75*12</f>
        <v>0</v>
      </c>
      <c r="M74" s="179">
        <f>M75*12</f>
        <v>0</v>
      </c>
      <c r="N74" s="179">
        <f>N75*12</f>
        <v>0</v>
      </c>
      <c r="O74" s="102" t="s">
        <v>51</v>
      </c>
      <c r="P74" s="153" t="s">
        <v>126</v>
      </c>
      <c r="Q74" s="153" t="s">
        <v>127</v>
      </c>
      <c r="U74" s="1"/>
      <c r="V74" s="275"/>
    </row>
    <row r="75" spans="1:23" outlineLevel="1" x14ac:dyDescent="0.25">
      <c r="A75" s="13" t="str">
        <f>ROUND(P75*100, 2)&amp;"% Avg. Fiscal Effort, "&amp;ROUND(Q75, 2)&amp;" Avg. Calendar Months"</f>
        <v>0% Avg. Fiscal Effort, 0 Avg. Calendar Months</v>
      </c>
      <c r="B75" s="55">
        <f>O75*J75</f>
        <v>0</v>
      </c>
      <c r="C75" s="55">
        <f>IF($J$6&gt;1,IF($U$1&lt;&gt;0,IF(O75*(1+$O$6)&lt;=$U$1,O75*K75*(1+$O$6),$U$1*K75),O75*K75*(1+$O$6)),0)</f>
        <v>0</v>
      </c>
      <c r="D75" s="55">
        <f>IF($J$6&gt;2,IF($U$1&lt;&gt;0,IF(O75*(1+$O$6)^2&lt;=$U$1,O75*L75*(1+$O$6)^2,$U$1*L75),O75*L75*(1+$O$6)^2),0)</f>
        <v>0</v>
      </c>
      <c r="E75" s="55">
        <f>IF($J$6&gt;3,IF($U$1&lt;&gt;0,IF(O75*(1+$O$6)^3&lt;=$U$1,O75*M75*(1+$O$6)^3,$U$1*M75),O75*M75*(1+$O$6)^3),0)</f>
        <v>0</v>
      </c>
      <c r="F75" s="55">
        <f>IF($J$6&gt;4,IF($U$1&lt;&gt;0,IF(O75*(1+$O$6)^4&lt;=$U$1,O75*N75*(1+$O$6)^4,$U$1*N75),O75*N75*(1+$O$6)^4),0)</f>
        <v>0</v>
      </c>
      <c r="G75" s="54">
        <f>SUM(B75:F75)</f>
        <v>0</v>
      </c>
      <c r="H75" s="14"/>
      <c r="I75" s="106" t="s">
        <v>26</v>
      </c>
      <c r="J75" s="17">
        <v>0</v>
      </c>
      <c r="K75" s="17">
        <f>IF($J$6&gt;1,J75,0)</f>
        <v>0</v>
      </c>
      <c r="L75" s="17">
        <f>IF($J$6&gt;2,K75,0)</f>
        <v>0</v>
      </c>
      <c r="M75" s="17">
        <f>IF($J$6&gt;3,L75,0)</f>
        <v>0</v>
      </c>
      <c r="N75" s="17">
        <f>IF($J$6&gt;4,M75,0)</f>
        <v>0</v>
      </c>
      <c r="O75" s="447">
        <f>T76</f>
        <v>0</v>
      </c>
      <c r="P75" s="154">
        <f>SUM(J74:N74)/(ROUNDUP($J$6,0)*12)</f>
        <v>0</v>
      </c>
      <c r="Q75" s="155">
        <f>(SUM(J74:N74)/(CEILING($J$6*12,12)))*12</f>
        <v>0</v>
      </c>
      <c r="T75" s="2"/>
      <c r="V75" s="275"/>
    </row>
    <row r="76" spans="1:23" outlineLevel="1" x14ac:dyDescent="0.25">
      <c r="B76" s="55"/>
      <c r="C76" s="55"/>
      <c r="D76" s="55"/>
      <c r="E76" s="55"/>
      <c r="F76" s="55"/>
      <c r="G76" s="54"/>
      <c r="H76" s="14"/>
      <c r="I76" s="169" t="s">
        <v>109</v>
      </c>
      <c r="J76" s="180">
        <f>B75*$V76</f>
        <v>0</v>
      </c>
      <c r="K76" s="180">
        <f>C75*$V76</f>
        <v>0</v>
      </c>
      <c r="L76" s="180">
        <f>D75*$V76</f>
        <v>0</v>
      </c>
      <c r="M76" s="180">
        <f>E75*$V76</f>
        <v>0</v>
      </c>
      <c r="N76" s="180">
        <f>F75*$V76</f>
        <v>0</v>
      </c>
      <c r="O76" s="22"/>
      <c r="P76" s="276"/>
      <c r="Q76" s="156"/>
      <c r="T76" s="171">
        <v>0</v>
      </c>
      <c r="U76" s="271" t="s">
        <v>123</v>
      </c>
      <c r="V76" s="272">
        <f>J114</f>
        <v>0.17100000000000001</v>
      </c>
      <c r="W76" s="174"/>
    </row>
    <row r="77" spans="1:23" outlineLevel="1" x14ac:dyDescent="0.25">
      <c r="A77" s="446" t="s">
        <v>195</v>
      </c>
      <c r="B77" s="55"/>
      <c r="C77" s="55"/>
      <c r="D77" s="55"/>
      <c r="E77" s="55"/>
      <c r="F77" s="55"/>
      <c r="G77" s="54"/>
      <c r="H77" s="14"/>
      <c r="I77" s="106" t="s">
        <v>128</v>
      </c>
      <c r="J77" s="179">
        <f>J78*12</f>
        <v>0</v>
      </c>
      <c r="K77" s="179">
        <f>K78*12</f>
        <v>0</v>
      </c>
      <c r="L77" s="179">
        <f>L78*12</f>
        <v>0</v>
      </c>
      <c r="M77" s="179">
        <f>M78*12</f>
        <v>0</v>
      </c>
      <c r="N77" s="179">
        <f>N78*12</f>
        <v>0</v>
      </c>
      <c r="O77" s="102" t="s">
        <v>51</v>
      </c>
      <c r="P77" s="153" t="s">
        <v>126</v>
      </c>
      <c r="Q77" s="153" t="s">
        <v>127</v>
      </c>
      <c r="U77" s="1"/>
      <c r="V77" s="275"/>
    </row>
    <row r="78" spans="1:23" outlineLevel="1" x14ac:dyDescent="0.25">
      <c r="A78" s="13" t="str">
        <f>ROUND(P78*100, 2)&amp;"% Avg. Fiscal Effort, "&amp;ROUND(Q78, 2)&amp;" Avg. Calendar Months"</f>
        <v>0% Avg. Fiscal Effort, 0 Avg. Calendar Months</v>
      </c>
      <c r="B78" s="55">
        <f>O78*J78</f>
        <v>0</v>
      </c>
      <c r="C78" s="55">
        <f>IF($J$6&gt;1,IF($U$1&lt;&gt;0,IF(O78*(1+$O$6)&lt;=$U$1,O78*K78*(1+$O$6),$U$1*K78),O78*K78*(1+$O$6)),0)</f>
        <v>0</v>
      </c>
      <c r="D78" s="55">
        <f>IF($J$6&gt;2,IF($U$1&lt;&gt;0,IF(O78*(1+$O$6)^2&lt;=$U$1,O78*L78*(1+$O$6)^2,$U$1*L78),O78*L78*(1+$O$6)^2),0)</f>
        <v>0</v>
      </c>
      <c r="E78" s="55">
        <f>IF($J$6&gt;3,IF($U$1&lt;&gt;0,IF(O78*(1+$O$6)^3&lt;=$U$1,O78*M78*(1+$O$6)^3,$U$1*M78),O78*M78*(1+$O$6)^3),0)</f>
        <v>0</v>
      </c>
      <c r="F78" s="55">
        <f>IF($J$6&gt;4,IF($U$1&lt;&gt;0,IF(O78*(1+$O$6)^4&lt;=$U$1,O78*N78*(1+$O$6)^4,$U$1*N78),O78*N78*(1+$O$6)^4),0)</f>
        <v>0</v>
      </c>
      <c r="G78" s="54">
        <f>SUM(B78:F78)</f>
        <v>0</v>
      </c>
      <c r="H78" s="14"/>
      <c r="I78" s="106" t="s">
        <v>26</v>
      </c>
      <c r="J78" s="17">
        <v>0</v>
      </c>
      <c r="K78" s="17">
        <f>IF($J$6&gt;1,J78,0)</f>
        <v>0</v>
      </c>
      <c r="L78" s="17">
        <f>IF($J$6&gt;2,K78,0)</f>
        <v>0</v>
      </c>
      <c r="M78" s="17">
        <f>IF($J$6&gt;3,L78,0)</f>
        <v>0</v>
      </c>
      <c r="N78" s="17">
        <f>IF($J$6&gt;4,M78,0)</f>
        <v>0</v>
      </c>
      <c r="O78" s="447">
        <f>T79</f>
        <v>0</v>
      </c>
      <c r="P78" s="154">
        <f>SUM(J77:N77)/(ROUNDUP($J$6,0)*12)</f>
        <v>0</v>
      </c>
      <c r="Q78" s="155">
        <f>(SUM(J77:N77)/(CEILING($J$6*12,12)))*12</f>
        <v>0</v>
      </c>
      <c r="T78" s="2"/>
      <c r="V78" s="275"/>
    </row>
    <row r="79" spans="1:23" outlineLevel="1" x14ac:dyDescent="0.25">
      <c r="B79" s="55"/>
      <c r="C79" s="55"/>
      <c r="D79" s="55"/>
      <c r="E79" s="55"/>
      <c r="F79" s="55"/>
      <c r="G79" s="54"/>
      <c r="H79" s="14"/>
      <c r="I79" s="169" t="s">
        <v>109</v>
      </c>
      <c r="J79" s="180">
        <f>B78*$V79</f>
        <v>0</v>
      </c>
      <c r="K79" s="180">
        <f>C78*$V79</f>
        <v>0</v>
      </c>
      <c r="L79" s="180">
        <f>D78*$V79</f>
        <v>0</v>
      </c>
      <c r="M79" s="180">
        <f>E78*$V79</f>
        <v>0</v>
      </c>
      <c r="N79" s="180">
        <f>F78*$V79</f>
        <v>0</v>
      </c>
      <c r="O79" s="22"/>
      <c r="P79" s="276"/>
      <c r="Q79" s="156"/>
      <c r="T79" s="171">
        <v>0</v>
      </c>
      <c r="U79" s="271" t="s">
        <v>123</v>
      </c>
      <c r="V79" s="272">
        <f>J114</f>
        <v>0.17100000000000001</v>
      </c>
      <c r="W79" s="174"/>
    </row>
    <row r="80" spans="1:23" outlineLevel="1" x14ac:dyDescent="0.25">
      <c r="B80" s="55"/>
      <c r="C80" s="55"/>
      <c r="D80" s="56"/>
      <c r="E80" s="56"/>
      <c r="F80" s="56"/>
      <c r="G80" s="54"/>
      <c r="H80" s="14"/>
      <c r="I80" s="53" t="s">
        <v>48</v>
      </c>
      <c r="J80" s="105" t="b">
        <f>IF(J82&gt;0%,IF(J82&lt;50%,IF(J82&gt;0,($U$3/2),0),$U$3),IF(J83&gt;0%,IF(J83&lt;50%,IF(J83&gt;0,($U$3/2),0),$U$3)))</f>
        <v>0</v>
      </c>
      <c r="K80" s="105" t="b">
        <f>IF(K82&gt;0%,IF(K82&lt;50%,IF(K82&gt;0,(($U$3*(1+$V$3))/2),0),($U$3*(1+$V$3))),IF(K83&gt;0%,IF(K83&lt;50%,IF(K83&gt;0,(($U$3*(1+$V$3))/2),0),($U$3*(1+$V$3)))))</f>
        <v>0</v>
      </c>
      <c r="L80" s="105" t="b">
        <f>IF(L82&gt;0%,IF(L82&lt;50%,IF(L82&gt;0,(($U$3*(1+$V$3)^2)/2),0),($U$3*(1+$V$3)^2)),IF(L83&gt;0%,IF(L83&lt;50%,IF(L83&gt;0,(($U$3*(1+$V$3)^2)/2),0),($U$3*(1+$V$3)^2))))</f>
        <v>0</v>
      </c>
      <c r="M80" s="105" t="b">
        <f>IF(M82&gt;0%,IF(M82&lt;50%,IF(M82&gt;0,(($U$3*(1+$V$3)^3)/2),0),($U$3*(1+$V$3)^3)),IF(M83&gt;0%,IF(M83&lt;50%,IF(M83&gt;0,(($U$3*(1+$V$3)^3)/2),0),($U$3*(1+$V$3)^3))))</f>
        <v>0</v>
      </c>
      <c r="N80" s="105" t="b">
        <f>IF(N82&gt;0%,IF(N82&lt;50%,IF(N82&gt;0,(($U$3*(1+$V$3)^4)/2),0),($U$3*(1+$V$3)^4)),IF(N83&gt;0%,IF(N83&lt;50%,IF(N83&gt;0,(($U$3*(1+$V$3)^4)/2),0),($U$3*(1+$V$3)^4))))</f>
        <v>0</v>
      </c>
      <c r="O80" s="49" t="s">
        <v>51</v>
      </c>
      <c r="P80" s="153"/>
      <c r="Q80" s="153"/>
      <c r="V80" s="277"/>
      <c r="W80" s="1"/>
    </row>
    <row r="81" spans="1:23" outlineLevel="1" x14ac:dyDescent="0.25">
      <c r="A81" s="446" t="s">
        <v>196</v>
      </c>
      <c r="B81" s="55"/>
      <c r="C81" s="55"/>
      <c r="D81" s="56"/>
      <c r="E81" s="56"/>
      <c r="F81" s="56"/>
      <c r="G81" s="54"/>
      <c r="H81" s="14"/>
      <c r="I81" s="106" t="s">
        <v>128</v>
      </c>
      <c r="J81" s="179">
        <f>IF($U85="F",J82*12,SUM(J83*9,J84))</f>
        <v>0</v>
      </c>
      <c r="K81" s="179">
        <f>IF($U85="F",K82*12,SUM(K83*9,K84))</f>
        <v>0</v>
      </c>
      <c r="L81" s="179">
        <f>IF($U85="F",L82*12,SUM(L83*9,L84))</f>
        <v>0</v>
      </c>
      <c r="M81" s="179">
        <f>IF($U85="F",M82*12,SUM(M83*9,M84))</f>
        <v>0</v>
      </c>
      <c r="N81" s="179">
        <f>IF($U85="F",N82*12,SUM(N83*9,N84))</f>
        <v>0</v>
      </c>
      <c r="O81" s="49"/>
      <c r="P81" s="153" t="s">
        <v>126</v>
      </c>
      <c r="Q81" s="153" t="s">
        <v>127</v>
      </c>
      <c r="V81" s="278"/>
      <c r="W81" s="1"/>
    </row>
    <row r="82" spans="1:23" outlineLevel="1" x14ac:dyDescent="0.25">
      <c r="A82" s="13" t="str">
        <f>ROUND(P82*100, 2)&amp;"% Avg. Fiscal Effort, "&amp;ROUND(Q82, 2)&amp;" Avg. Calendar Months"</f>
        <v>0% Avg. Fiscal Effort, 0 Avg. Calendar Months</v>
      </c>
      <c r="B82" s="55">
        <f>O82*J82</f>
        <v>0</v>
      </c>
      <c r="C82" s="55">
        <f>IF($J$6&gt;1,IF($U$1&lt;&gt;0,IF(O82*(1+$O$6)&lt;=$U$1,O82*K82*(1+$O$6),$U$1*K82),O82*K82*(1+$O$6)),0)</f>
        <v>0</v>
      </c>
      <c r="D82" s="55">
        <f>IF($J$6&gt;2,IF($U$1&lt;&gt;0,IF(O82*(1+$O$6)^2&lt;=$U$1,O82*L82*(1+$O$6)^2,$U$1*L82),O82*L82*(1+$O$6)^2),0)</f>
        <v>0</v>
      </c>
      <c r="E82" s="55">
        <f>IF($J$6&gt;3,IF($U$1&lt;&gt;0,IF(O82*(1+$O$6)^3&lt;=$U$1,O82*M82*(1+$O$6)^3,$U$1*M82),O82*M82*(1+$O$6)^3),0)</f>
        <v>0</v>
      </c>
      <c r="F82" s="55">
        <f>IF($J$6&gt;4,IF($U$1&lt;&gt;0,IF(O82*(1+$O$6)^4&lt;=$U$1,O82*N82*(1+$O$6)^4,$U$1*N82),O82*N82*(1+$O$6)^4),0)</f>
        <v>0</v>
      </c>
      <c r="G82" s="54">
        <f>SUM(B82:F82)</f>
        <v>0</v>
      </c>
      <c r="H82" s="14"/>
      <c r="I82" s="106" t="s">
        <v>26</v>
      </c>
      <c r="J82" s="17">
        <v>0</v>
      </c>
      <c r="K82" s="17">
        <f>IF($J$6&gt;1,J82,0)</f>
        <v>0</v>
      </c>
      <c r="L82" s="17">
        <f>IF($J$6&gt;2,K82,0)</f>
        <v>0</v>
      </c>
      <c r="M82" s="17">
        <f>IF($J$6&gt;3,L82,0)</f>
        <v>0</v>
      </c>
      <c r="N82" s="17">
        <f>IF($J$6&gt;4,M82,0)</f>
        <v>0</v>
      </c>
      <c r="O82" s="334">
        <f>IF(U85="F",T85,0)</f>
        <v>0</v>
      </c>
      <c r="P82" s="154">
        <f>SUM(J81:N81)/(ROUNDUP($J$6,0)*12)</f>
        <v>0</v>
      </c>
      <c r="Q82" s="155">
        <f>(SUM(J81:N81)/(CEILING($J$6*12,12)))*12</f>
        <v>0</v>
      </c>
      <c r="T82" s="90"/>
      <c r="V82" s="275"/>
      <c r="W82" s="1"/>
    </row>
    <row r="83" spans="1:23" ht="17.850000000000001" customHeight="1" outlineLevel="1" x14ac:dyDescent="0.25">
      <c r="A83" s="481" t="str">
        <f>ROUND(P82*100,2)&amp;"% Annualized Effort, "&amp;ROUND(Q83,2)&amp;" Avg. Academic Months
"&amp;IF(SUM(J84:N84)&gt;0," and "&amp;Q84 &amp;" Avg. Summer Months", "")</f>
        <v xml:space="preserve">0% Annualized Effort, 0 Avg. Academic Months
</v>
      </c>
      <c r="B83" s="55">
        <f>J83*O83</f>
        <v>0</v>
      </c>
      <c r="C83" s="55">
        <f>IF($J$6&gt;1,IF($U$1&lt;&gt;0,IF(O83*(1+$O$6)&lt;=$U$1*0.75,O83*K83*(1+$O$6),$U$1*0.75*K83),O83*K83*(1+$O$6)),0)</f>
        <v>0</v>
      </c>
      <c r="D83" s="55">
        <f>IF($J$6&gt;2,IF($U$1&lt;&gt;0,IF(O83*(1+$O$6)^2&lt;=$U$1*0.75,O83*L83*(1+$O$6)^2,$U$1*0.75*L83),O83*L83*(1+$O$6)^2),0)</f>
        <v>0</v>
      </c>
      <c r="E83" s="55">
        <f>IF($J$6&gt;3,IF($U$1&lt;&gt;0,IF(O83*(1+$O$6)^3&lt;=$U$1*0.75,O83*M83*(1+$O$6)^3,$U$1*0.75*M83),O83*M83*(1+$O$6)^3),0)</f>
        <v>0</v>
      </c>
      <c r="F83" s="55">
        <f>IF($J$6&gt;4,IF($U$1&lt;&gt;0,IF(O83*(1+$O$6)^4&lt;=$U$1*0.75,O83*N83*(1+$O$6)^4,$U$1*0.75*N83),O83*N83*(1+$O$6)^4),0)</f>
        <v>0</v>
      </c>
      <c r="G83" s="54">
        <f>SUM(B83:F83)</f>
        <v>0</v>
      </c>
      <c r="H83" s="14"/>
      <c r="I83" s="106" t="s">
        <v>15</v>
      </c>
      <c r="J83" s="17">
        <v>0</v>
      </c>
      <c r="K83" s="17">
        <f>IF($J$6&gt;1,J83,0)</f>
        <v>0</v>
      </c>
      <c r="L83" s="17">
        <f>IF($J$6&gt;2,K83,0)</f>
        <v>0</v>
      </c>
      <c r="M83" s="17">
        <f>IF($J$6&gt;3,L83,0)</f>
        <v>0</v>
      </c>
      <c r="N83" s="17">
        <f>IF($J$6&gt;4,M83,0)</f>
        <v>0</v>
      </c>
      <c r="O83" s="334">
        <f>IF(U85="A",T85,0)</f>
        <v>0</v>
      </c>
      <c r="P83" s="276"/>
      <c r="Q83" s="156">
        <f>((SUM(J81:N81)-SUM(J84:N84))/(CEILING($J$6*9,9)))*9</f>
        <v>0</v>
      </c>
      <c r="R83" s="12"/>
      <c r="S83" s="12"/>
      <c r="T83" s="90"/>
      <c r="V83" s="275"/>
      <c r="W83" s="1"/>
    </row>
    <row r="84" spans="1:23" outlineLevel="1" x14ac:dyDescent="0.25">
      <c r="A84" s="481"/>
      <c r="B84" s="55">
        <f>J84/3*O84</f>
        <v>0</v>
      </c>
      <c r="C84" s="55">
        <f>IF($J$6&gt;1,IF($U$1&lt;&gt;0,IF(O84*(1+$O$6)&lt;=$U$1*0.25,O84*K84/3*(1+$O$6),$U$1*0.25*K84/3),O84*K84/3*(1+$O$6)),0)</f>
        <v>0</v>
      </c>
      <c r="D84" s="55">
        <f>IF($J$6&gt;2,IF($U$1&lt;&gt;0,IF(O84*(1+$O$6)^2&lt;=$U$1*0.25,O84*L84/3*(1+$O$6)^2,$U$1*0.25*L84/3),O84*L84/3*(1+$O$6)^2),0)</f>
        <v>0</v>
      </c>
      <c r="E84" s="55">
        <f>IF($J$6&gt;3,IF($U$1&lt;&gt;0,IF(O84*(1+$O$6)^3&lt;=$U$1*0.25,O84*M84/3*(1+$O$6)^3,$U$1*0.25*M84/3),O84*M84/3*(1+$O$6)^3),0)</f>
        <v>0</v>
      </c>
      <c r="F84" s="55">
        <f>IF($J$6&gt;4,IF($U$1&lt;&gt;0,IF(O84*(1+$O$6)^4&lt;=$U$1*0.25,O84*N84/3*(1+$O$6)^4,$U$1*0.25*N84/3),O84*N84/3*(1+$O$6)^4),0)</f>
        <v>0</v>
      </c>
      <c r="G84" s="54">
        <f>SUM(B84:F84)</f>
        <v>0</v>
      </c>
      <c r="H84" s="14"/>
      <c r="I84" s="106" t="s">
        <v>17</v>
      </c>
      <c r="J84" s="16">
        <v>0</v>
      </c>
      <c r="K84" s="16">
        <f>IF($J$6&gt;1,J84,0)</f>
        <v>0</v>
      </c>
      <c r="L84" s="16">
        <f>IF($J$6&gt;2,K84,0)</f>
        <v>0</v>
      </c>
      <c r="M84" s="16">
        <f>IF($J$6&gt;3,L84,0)</f>
        <v>0</v>
      </c>
      <c r="N84" s="16">
        <f>IF($J$6&gt;4,M84,0)</f>
        <v>0</v>
      </c>
      <c r="O84" s="334">
        <f>IF(U85="A",T85*0.000731*420,0)</f>
        <v>0</v>
      </c>
      <c r="P84" s="157"/>
      <c r="Q84" s="157">
        <f>((SUM(J81:N81)-SUM(J83:N83)*9)/(CEILING($J$6*3,3)))*3</f>
        <v>0</v>
      </c>
      <c r="R84" s="12"/>
      <c r="S84" s="12"/>
      <c r="V84" s="275"/>
      <c r="W84" s="1"/>
    </row>
    <row r="85" spans="1:23" outlineLevel="1" x14ac:dyDescent="0.25">
      <c r="A85" s="13"/>
      <c r="B85" s="55"/>
      <c r="C85" s="55"/>
      <c r="D85" s="55"/>
      <c r="E85" s="55"/>
      <c r="F85" s="55"/>
      <c r="G85" s="54"/>
      <c r="H85" s="14"/>
      <c r="I85" s="169" t="s">
        <v>109</v>
      </c>
      <c r="J85" s="168">
        <f>SUM(B82:B84)*$V85</f>
        <v>0</v>
      </c>
      <c r="K85" s="168">
        <f>SUM(C82:C84)*$V85</f>
        <v>0</v>
      </c>
      <c r="L85" s="168">
        <f>SUM(D82:D84)*$V85</f>
        <v>0</v>
      </c>
      <c r="M85" s="168">
        <f>SUM(E82:E84)*$V85</f>
        <v>0</v>
      </c>
      <c r="N85" s="168">
        <f>SUM(F82:F84)*$V85</f>
        <v>0</v>
      </c>
      <c r="O85" s="167"/>
      <c r="P85" s="157"/>
      <c r="Q85" s="157"/>
      <c r="R85" s="12"/>
      <c r="S85" s="12"/>
      <c r="T85" s="171"/>
      <c r="U85" s="172"/>
      <c r="V85" s="272">
        <f>J116</f>
        <v>0.13</v>
      </c>
      <c r="W85" s="175"/>
    </row>
    <row r="86" spans="1:23" outlineLevel="1" x14ac:dyDescent="0.25">
      <c r="B86" s="55"/>
      <c r="C86" s="55"/>
      <c r="D86" s="56"/>
      <c r="E86" s="56"/>
      <c r="F86" s="56"/>
      <c r="G86" s="54"/>
      <c r="H86" s="14"/>
      <c r="I86" s="53" t="s">
        <v>48</v>
      </c>
      <c r="J86" s="105" t="b">
        <f>IF(J88&gt;0%,IF(J88&lt;50%,IF(J88&gt;0,($U$3/2),0),$U$3),IF(J89&gt;0%,IF(J89&lt;50%,IF(J89&gt;0,($U$3/2),0),$U$3)))</f>
        <v>0</v>
      </c>
      <c r="K86" s="105" t="b">
        <f>IF(K88&gt;0%,IF(K88&lt;50%,IF(K88&gt;0,(($U$3*(1+$V$3))/2),0),($U$3*(1+$V$3))),IF(K89&gt;0%,IF(K89&lt;50%,IF(K89&gt;0,(($U$3*(1+$V$3))/2),0),($U$3*(1+$V$3)))))</f>
        <v>0</v>
      </c>
      <c r="L86" s="105" t="b">
        <f>IF(L88&gt;0%,IF(L88&lt;50%,IF(L88&gt;0,(($U$3*(1+$V$3)^2)/2),0),($U$3*(1+$V$3)^2)),IF(L89&gt;0%,IF(L89&lt;50%,IF(L89&gt;0,(($U$3*(1+$V$3)^2)/2),0),($U$3*(1+$V$3)^2))))</f>
        <v>0</v>
      </c>
      <c r="M86" s="105" t="b">
        <f>IF(M88&gt;0%,IF(M88&lt;50%,IF(M88&gt;0,(($U$3*(1+$V$3)^3)/2),0),($U$3*(1+$V$3)^3)),IF(M89&gt;0%,IF(M89&lt;50%,IF(M89&gt;0,(($U$3*(1+$V$3)^3)/2),0),($U$3*(1+$V$3)^3))))</f>
        <v>0</v>
      </c>
      <c r="N86" s="105" t="b">
        <f>IF(N88&gt;0%,IF(N88&lt;50%,IF(N88&gt;0,(($U$3*(1+$V$3)^4)/2),0),($U$3*(1+$V$3)^4)),IF(N89&gt;0%,IF(N89&lt;50%,IF(N89&gt;0,(($U$3*(1+$V$3)^4)/2),0),($U$3*(1+$V$3)^4))))</f>
        <v>0</v>
      </c>
      <c r="O86" s="49" t="s">
        <v>51</v>
      </c>
      <c r="P86" s="153"/>
      <c r="Q86" s="153"/>
      <c r="U86" s="1"/>
      <c r="V86" s="277"/>
      <c r="W86" s="1"/>
    </row>
    <row r="87" spans="1:23" outlineLevel="1" x14ac:dyDescent="0.25">
      <c r="A87" s="446" t="s">
        <v>196</v>
      </c>
      <c r="B87" s="55"/>
      <c r="C87" s="55"/>
      <c r="D87" s="56"/>
      <c r="E87" s="56"/>
      <c r="F87" s="56"/>
      <c r="G87" s="54"/>
      <c r="H87" s="14"/>
      <c r="I87" s="106" t="s">
        <v>128</v>
      </c>
      <c r="J87" s="179">
        <f>IF($U91="F",J88*12,SUM(J89*9,J90))</f>
        <v>0</v>
      </c>
      <c r="K87" s="179">
        <f>IF($U91="F",K88*12,SUM(K89*9,K90))</f>
        <v>0</v>
      </c>
      <c r="L87" s="179">
        <f>IF($U91="F",L88*12,SUM(L89*9,L90))</f>
        <v>0</v>
      </c>
      <c r="M87" s="179">
        <f>IF($U91="F",M88*12,SUM(M89*9,M90))</f>
        <v>0</v>
      </c>
      <c r="N87" s="179">
        <f>IF($U91="F",N88*12,SUM(N89*9,N90))</f>
        <v>0</v>
      </c>
      <c r="O87" s="49"/>
      <c r="P87" s="153" t="s">
        <v>126</v>
      </c>
      <c r="Q87" s="153" t="s">
        <v>127</v>
      </c>
      <c r="V87" s="277"/>
      <c r="W87" s="1"/>
    </row>
    <row r="88" spans="1:23" outlineLevel="1" x14ac:dyDescent="0.25">
      <c r="A88" s="13" t="str">
        <f>ROUND(P88*100, 2)&amp;"% Avg. Fiscal Effort, "&amp;ROUND(Q88, 2)&amp;" Avg. Calendar Months"</f>
        <v>0% Avg. Fiscal Effort, 0 Avg. Calendar Months</v>
      </c>
      <c r="B88" s="55">
        <f>O88*J88</f>
        <v>0</v>
      </c>
      <c r="C88" s="55">
        <f>IF($J$6&gt;1,IF($U$1&lt;&gt;0,IF(O88*(1+$O$6)&lt;=$U$1,O88*K88*(1+$O$6),$U$1*K88),O88*K88*(1+$O$6)),0)</f>
        <v>0</v>
      </c>
      <c r="D88" s="55">
        <f>IF($J$6&gt;2,IF($U$1&lt;&gt;0,IF(O88*(1+$O$6)^2&lt;=$U$1,O88*L88*(1+$O$6)^2,$U$1*L88),O88*L88*(1+$O$6)^2),0)</f>
        <v>0</v>
      </c>
      <c r="E88" s="55">
        <f>IF($J$6&gt;3,IF($U$1&lt;&gt;0,IF(O88*(1+$O$6)^3&lt;=$U$1,O88*M88*(1+$O$6)^3,$U$1*M88),O88*M88*(1+$O$6)^3),0)</f>
        <v>0</v>
      </c>
      <c r="F88" s="55">
        <f>IF($J$6&gt;4,IF($U$1&lt;&gt;0,IF(O88*(1+$O$6)^4&lt;=$U$1,O88*N88*(1+$O$6)^4,$U$1*N88),O88*N88*(1+$O$6)^4),0)</f>
        <v>0</v>
      </c>
      <c r="G88" s="54">
        <f>SUM(B88:F88)</f>
        <v>0</v>
      </c>
      <c r="H88" s="14"/>
      <c r="I88" s="106" t="s">
        <v>26</v>
      </c>
      <c r="J88" s="17">
        <v>0</v>
      </c>
      <c r="K88" s="17">
        <f>IF($J$6&gt;1,J88,0)</f>
        <v>0</v>
      </c>
      <c r="L88" s="17">
        <f>IF($J$6&gt;2,K88,0)</f>
        <v>0</v>
      </c>
      <c r="M88" s="17">
        <f>IF($J$6&gt;3,L88,0)</f>
        <v>0</v>
      </c>
      <c r="N88" s="17">
        <f>IF($J$6&gt;4,M88,0)</f>
        <v>0</v>
      </c>
      <c r="O88" s="334">
        <f>IF(U91="F",T91,0)</f>
        <v>0</v>
      </c>
      <c r="P88" s="154">
        <f>SUM(J87:N87)/(ROUNDUP($J$6,0)*12)</f>
        <v>0</v>
      </c>
      <c r="Q88" s="155">
        <f>(SUM(J87:N87)/(CEILING($J$6*12,12)))*12</f>
        <v>0</v>
      </c>
      <c r="T88" s="90"/>
      <c r="V88" s="275"/>
      <c r="W88" s="1"/>
    </row>
    <row r="89" spans="1:23" ht="17.850000000000001" customHeight="1" outlineLevel="1" x14ac:dyDescent="0.25">
      <c r="A89" s="481" t="str">
        <f>ROUND(P88*100,2)&amp;"% Annualized Effort, "&amp;ROUND(Q89,2)&amp;" Avg. Academic Months
"&amp;IF(SUM(J90:N90)&gt;0," and "&amp;Q90 &amp;" Avg. Summer Months", "")</f>
        <v xml:space="preserve">0% Annualized Effort, 0 Avg. Academic Months
</v>
      </c>
      <c r="B89" s="55">
        <f>J89*O89</f>
        <v>0</v>
      </c>
      <c r="C89" s="55">
        <f>IF($J$6&gt;1,IF($U$1&lt;&gt;0,IF(O89*(1+$O$6)&lt;=$U$1*0.75,O89*K89*(1+$O$6),$U$1*0.75*K89),O89*K89*(1+$O$6)),0)</f>
        <v>0</v>
      </c>
      <c r="D89" s="55">
        <f>IF($J$6&gt;2,IF($U$1&lt;&gt;0,IF(O89*(1+$O$6)^2&lt;=$U$1*0.75,O89*L89*(1+$O$6)^2,$U$1*0.75*L89),O89*L89*(1+$O$6)^2),0)</f>
        <v>0</v>
      </c>
      <c r="E89" s="55">
        <f>IF($J$6&gt;3,IF($U$1&lt;&gt;0,IF(O89*(1+$O$6)^3&lt;=$U$1*0.75,O89*M89*(1+$O$6)^3,$U$1*0.75*M89),O89*M89*(1+$O$6)^3),0)</f>
        <v>0</v>
      </c>
      <c r="F89" s="55">
        <f>IF($J$6&gt;4,IF($U$1&lt;&gt;0,IF(O89*(1+$O$6)^4&lt;=$U$1*0.75,O89*N89*(1+$O$6)^4,$U$1*0.75*N89),O89*N89*(1+$O$6)^4),0)</f>
        <v>0</v>
      </c>
      <c r="G89" s="54">
        <f>SUM(B89:F89)</f>
        <v>0</v>
      </c>
      <c r="H89" s="14"/>
      <c r="I89" s="106" t="s">
        <v>15</v>
      </c>
      <c r="J89" s="17">
        <v>0</v>
      </c>
      <c r="K89" s="17">
        <f>IF($J$6&gt;1,J89,0)</f>
        <v>0</v>
      </c>
      <c r="L89" s="17">
        <f>IF($J$6&gt;2,K89,0)</f>
        <v>0</v>
      </c>
      <c r="M89" s="17">
        <f>IF($J$6&gt;3,L89,0)</f>
        <v>0</v>
      </c>
      <c r="N89" s="17">
        <f>IF($J$6&gt;4,M89,0)</f>
        <v>0</v>
      </c>
      <c r="O89" s="334">
        <f>IF(U91="A",T91,0)</f>
        <v>0</v>
      </c>
      <c r="P89" s="276"/>
      <c r="Q89" s="156">
        <f>((SUM(J87:N87)-SUM(J90:N90))/(CEILING($J$6*9,9)))*9</f>
        <v>0</v>
      </c>
      <c r="R89" s="12"/>
      <c r="S89" s="12"/>
      <c r="T89" s="90"/>
      <c r="V89" s="275"/>
      <c r="W89" s="1"/>
    </row>
    <row r="90" spans="1:23" outlineLevel="1" x14ac:dyDescent="0.25">
      <c r="A90" s="481"/>
      <c r="B90" s="55">
        <f>J90/3*O90</f>
        <v>0</v>
      </c>
      <c r="C90" s="55">
        <f>IF($J$6&gt;1,IF($U$1&lt;&gt;0,IF(O90*(1+$O$6)&lt;=$U$1*0.25,O90*K90/3*(1+$O$6),$U$1*0.25*K90/3),O90*K90/3*(1+$O$6)),0)</f>
        <v>0</v>
      </c>
      <c r="D90" s="55">
        <f>IF($J$6&gt;2,IF($U$1&lt;&gt;0,IF(O90*(1+$O$6)^2&lt;=$U$1*0.25,O90*L90/3*(1+$O$6)^2,$U$1*0.25*L90/3),O90*L90/3*(1+$O$6)^2),0)</f>
        <v>0</v>
      </c>
      <c r="E90" s="55">
        <f>IF($J$6&gt;3,IF($U$1&lt;&gt;0,IF(O90*(1+$O$6)^3&lt;=$U$1*0.25,O90*M90/3*(1+$O$6)^3,$U$1*0.25*M90/3),O90*M90/3*(1+$O$6)^3),0)</f>
        <v>0</v>
      </c>
      <c r="F90" s="55">
        <f>IF($J$6&gt;4,IF($U$1&lt;&gt;0,IF(O90*(1+$O$6)^4&lt;=$U$1*0.25,O90*N90/3*(1+$O$6)^4,$U$1*0.25*N90/3),O90*N90/3*(1+$O$6)^4),0)</f>
        <v>0</v>
      </c>
      <c r="G90" s="54">
        <f>SUM(B90:F90)</f>
        <v>0</v>
      </c>
      <c r="H90" s="14"/>
      <c r="I90" s="106" t="s">
        <v>17</v>
      </c>
      <c r="J90" s="16">
        <v>0</v>
      </c>
      <c r="K90" s="16">
        <f>IF($J$6&gt;1,J90,0)</f>
        <v>0</v>
      </c>
      <c r="L90" s="16">
        <f>IF($J$6&gt;2,K90,0)</f>
        <v>0</v>
      </c>
      <c r="M90" s="16">
        <f>IF($J$6&gt;3,L90,0)</f>
        <v>0</v>
      </c>
      <c r="N90" s="16">
        <f>IF($J$6&gt;4,M90,0)</f>
        <v>0</v>
      </c>
      <c r="O90" s="334">
        <f>IF(U91="A",T91*0.000731*420,0)</f>
        <v>0</v>
      </c>
      <c r="P90" s="157"/>
      <c r="Q90" s="157">
        <f>((SUM(J87:N87)-SUM(J89:N89)*9)/(CEILING($J$6*3,3)))*3</f>
        <v>0</v>
      </c>
      <c r="R90" s="12"/>
      <c r="S90" s="12"/>
      <c r="V90" s="275"/>
      <c r="W90" s="1"/>
    </row>
    <row r="91" spans="1:23" outlineLevel="1" x14ac:dyDescent="0.25">
      <c r="A91" s="13"/>
      <c r="B91" s="55"/>
      <c r="C91" s="55"/>
      <c r="D91" s="55"/>
      <c r="E91" s="55"/>
      <c r="F91" s="55"/>
      <c r="G91" s="54"/>
      <c r="H91" s="14"/>
      <c r="I91" s="169" t="s">
        <v>109</v>
      </c>
      <c r="J91" s="168">
        <f>SUM(B88:B90)*$V91</f>
        <v>0</v>
      </c>
      <c r="K91" s="168">
        <f>SUM(C88:C90)*$V91</f>
        <v>0</v>
      </c>
      <c r="L91" s="168">
        <f>SUM(D88:D90)*$V91</f>
        <v>0</v>
      </c>
      <c r="M91" s="168">
        <f>SUM(E88:E90)*$V91</f>
        <v>0</v>
      </c>
      <c r="N91" s="168">
        <f>SUM(F88:F90)*$V91</f>
        <v>0</v>
      </c>
      <c r="O91" s="167"/>
      <c r="P91" s="157"/>
      <c r="Q91" s="157"/>
      <c r="R91" s="12"/>
      <c r="S91" s="12"/>
      <c r="T91" s="171"/>
      <c r="U91" s="172"/>
      <c r="V91" s="272">
        <f>J116</f>
        <v>0.13</v>
      </c>
      <c r="W91" s="175"/>
    </row>
    <row r="92" spans="1:23" ht="15.75" customHeight="1" outlineLevel="1" x14ac:dyDescent="0.25">
      <c r="B92" s="55"/>
      <c r="C92" s="55"/>
      <c r="D92" s="55"/>
      <c r="E92" s="55"/>
      <c r="F92" s="55"/>
      <c r="G92" s="54"/>
      <c r="H92" s="14"/>
      <c r="I92" s="53" t="s">
        <v>48</v>
      </c>
      <c r="J92" s="105" t="b">
        <f>IF(J94&gt;0%,IF(J94&lt;50%,IF(J94&gt;0,($U$3/2),0),$U$3),IF(J95&gt;0%,IF(J95&lt;50%,IF(J95&gt;0,($U$3/2),0),$U$3)))</f>
        <v>0</v>
      </c>
      <c r="K92" s="105" t="b">
        <f>IF(K94&gt;0%,IF(K94&lt;50%,IF(K94&gt;0,(($U$3*(1+$V$3))/2),0),($U$3*(1+$V$3))),IF(K95&gt;0%,IF(K95&lt;50%,IF(K95&gt;0,(($U$3*(1+$V$3))/2),0),($U$3*(1+$V$3)))))</f>
        <v>0</v>
      </c>
      <c r="L92" s="105" t="b">
        <f>IF(L94&gt;0%,IF(L94&lt;50%,IF(L94&gt;0,(($U$3*(1+$V$3)^2)/2),0),($U$3*(1+$V$3)^2)),IF(L95&gt;0%,IF(L95&lt;50%,IF(L95&gt;0,(($U$3*(1+$V$3)^2)/2),0),($U$3*(1+$V$3)^2))))</f>
        <v>0</v>
      </c>
      <c r="M92" s="105" t="b">
        <f>IF(M94&gt;0%,IF(M94&lt;50%,IF(M94&gt;0,(($U$3*(1+$V$3)^3)/2),0),($U$3*(1+$V$3)^3)),IF(M95&gt;0%,IF(M95&lt;50%,IF(M95&gt;0,(($U$3*(1+$V$3)^3)/2),0),($U$3*(1+$V$3)^3))))</f>
        <v>0</v>
      </c>
      <c r="N92" s="105" t="b">
        <f>IF(N94&gt;0%,IF(N94&lt;50%,IF(N94&gt;0,(($U$3*(1+$V$3)^4)/2),0),($U$3*(1+$V$3)^4)),IF(N95&gt;0%,IF(N95&lt;50%,IF(N95&gt;0,(($U$3*(1+$V$3)^4)/2),0),($U$3*(1+$V$3)^4))))</f>
        <v>0</v>
      </c>
      <c r="O92" s="49" t="s">
        <v>51</v>
      </c>
      <c r="P92" s="153"/>
      <c r="Q92" s="153"/>
      <c r="U92" s="1"/>
      <c r="V92" s="277"/>
      <c r="W92" s="1"/>
    </row>
    <row r="93" spans="1:23" ht="15.75" customHeight="1" outlineLevel="1" x14ac:dyDescent="0.25">
      <c r="A93" s="446" t="s">
        <v>196</v>
      </c>
      <c r="B93" s="55"/>
      <c r="C93" s="55"/>
      <c r="D93" s="55"/>
      <c r="E93" s="55"/>
      <c r="F93" s="55"/>
      <c r="G93" s="54"/>
      <c r="H93" s="14"/>
      <c r="I93" s="106" t="s">
        <v>128</v>
      </c>
      <c r="J93" s="179">
        <f>IF($U97="F",J94*12,SUM(J95*9,J96))</f>
        <v>0</v>
      </c>
      <c r="K93" s="179">
        <f>IF($U97="F",K94*12,SUM(K95*9,K96))</f>
        <v>0</v>
      </c>
      <c r="L93" s="179">
        <f>IF($U97="F",L94*12,SUM(L95*9,L96))</f>
        <v>0</v>
      </c>
      <c r="M93" s="179">
        <f>IF($U97="F",M94*12,SUM(M95*9,M96))</f>
        <v>0</v>
      </c>
      <c r="N93" s="179">
        <f>IF($U97="F",N94*12,SUM(N95*9,N96))</f>
        <v>0</v>
      </c>
      <c r="O93" s="49"/>
      <c r="P93" s="153" t="s">
        <v>126</v>
      </c>
      <c r="Q93" s="153" t="s">
        <v>127</v>
      </c>
      <c r="V93" s="277"/>
      <c r="W93" s="1"/>
    </row>
    <row r="94" spans="1:23" ht="15.75" customHeight="1" outlineLevel="1" x14ac:dyDescent="0.25">
      <c r="A94" s="13" t="str">
        <f>ROUND(P94*100, 2)&amp;"% Avg. Fiscal Effort, "&amp;ROUND(Q94, 2)&amp;" Avg. Calendar Months"</f>
        <v>0% Avg. Fiscal Effort, 0 Avg. Calendar Months</v>
      </c>
      <c r="B94" s="55">
        <f>O94*J94</f>
        <v>0</v>
      </c>
      <c r="C94" s="55">
        <f>IF($J$6&gt;1,IF($U$1&lt;&gt;0,IF(O94*(1+$O$6)&lt;=$U$1,O94*K94*(1+$O$6),$U$1*K94),O94*K94*(1+$O$6)),0)</f>
        <v>0</v>
      </c>
      <c r="D94" s="55">
        <f>IF($J$6&gt;2,IF($U$1&lt;&gt;0,IF(O94*(1+$O$6)^2&lt;=$U$1,O94*L94*(1+$O$6)^2,$U$1*L94),O94*L94*(1+$O$6)^2),0)</f>
        <v>0</v>
      </c>
      <c r="E94" s="55">
        <f>IF($J$6&gt;3,IF($U$1&lt;&gt;0,IF(O94*(1+$O$6)^3&lt;=$U$1,O94*M94*(1+$O$6)^3,$U$1*M94),O94*M94*(1+$O$6)^3),0)</f>
        <v>0</v>
      </c>
      <c r="F94" s="55">
        <f>IF($J$6&gt;4,IF($U$1&lt;&gt;0,IF(O94*(1+$O$6)^4&lt;=$U$1,O94*N94*(1+$O$6)^4,$U$1*N94),O94*N94*(1+$O$6)^4),0)</f>
        <v>0</v>
      </c>
      <c r="G94" s="54">
        <f>SUM(B94:F94)</f>
        <v>0</v>
      </c>
      <c r="H94" s="14"/>
      <c r="I94" s="106" t="s">
        <v>26</v>
      </c>
      <c r="J94" s="17">
        <v>0</v>
      </c>
      <c r="K94" s="17">
        <f>IF($J$6&gt;1,J94,0)</f>
        <v>0</v>
      </c>
      <c r="L94" s="17">
        <f>IF($J$6&gt;2,K94,0)</f>
        <v>0</v>
      </c>
      <c r="M94" s="17">
        <f>IF($J$6&gt;3,L94,0)</f>
        <v>0</v>
      </c>
      <c r="N94" s="17">
        <f>IF($J$6&gt;4,M94,0)</f>
        <v>0</v>
      </c>
      <c r="O94" s="334">
        <f>IF(U97="F",T97,0)</f>
        <v>0</v>
      </c>
      <c r="P94" s="154">
        <f>SUM(J93:N93)/(ROUNDUP($J$6,0)*12)</f>
        <v>0</v>
      </c>
      <c r="Q94" s="155">
        <f>(SUM(J93:N93)/(CEILING($J$6*12,12)))*12</f>
        <v>0</v>
      </c>
      <c r="T94" s="90"/>
      <c r="V94" s="275"/>
      <c r="W94" s="1"/>
    </row>
    <row r="95" spans="1:23" ht="17.850000000000001" customHeight="1" outlineLevel="1" x14ac:dyDescent="0.25">
      <c r="A95" s="481" t="str">
        <f>ROUND(P94*100,2)&amp;"% Annualized Effort, "&amp;ROUND(Q95,2)&amp;" Avg. Academic Months
"&amp;IF(SUM(J96:N96)&gt;0," and "&amp;Q96 &amp;" Avg. Summer Months", "")</f>
        <v xml:space="preserve">0% Annualized Effort, 0 Avg. Academic Months
</v>
      </c>
      <c r="B95" s="55">
        <f>J95*O95</f>
        <v>0</v>
      </c>
      <c r="C95" s="55">
        <f>IF($J$6&gt;1,IF($U$1&lt;&gt;0,IF(O95*(1+$O$6)&lt;=$U$1*0.75,O95*K95*(1+$O$6),$U$1*0.75*K95),O95*K95*(1+$O$6)),0)</f>
        <v>0</v>
      </c>
      <c r="D95" s="55">
        <f>IF($J$6&gt;2,IF($U$1&lt;&gt;0,IF(O95*(1+$O$6)^2&lt;=$U$1*0.75,O95*L95*(1+$O$6)^2,$U$1*0.75*L95),O95*L95*(1+$O$6)^2),0)</f>
        <v>0</v>
      </c>
      <c r="E95" s="55">
        <f>IF($J$6&gt;3,IF($U$1&lt;&gt;0,IF(O95*(1+$O$6)^3&lt;=$U$1*0.75,O95*M95*(1+$O$6)^3,$U$1*0.75*M95),O95*M95*(1+$O$6)^3),0)</f>
        <v>0</v>
      </c>
      <c r="F95" s="55">
        <f>IF($J$6&gt;4,IF($U$1&lt;&gt;0,IF(O95*(1+$O$6)^4&lt;=$U$1*0.75,O95*N95*(1+$O$6)^4,$U$1*0.75*N95),O95*N95*(1+$O$6)^4),0)</f>
        <v>0</v>
      </c>
      <c r="G95" s="54">
        <f>SUM(B95:F95)</f>
        <v>0</v>
      </c>
      <c r="H95" s="14"/>
      <c r="I95" s="106" t="s">
        <v>15</v>
      </c>
      <c r="J95" s="17">
        <v>0</v>
      </c>
      <c r="K95" s="17">
        <f>IF($J$6&gt;1,J95,0)</f>
        <v>0</v>
      </c>
      <c r="L95" s="17">
        <f>IF($J$6&gt;2,K95,0)</f>
        <v>0</v>
      </c>
      <c r="M95" s="17">
        <f>IF($J$6&gt;3,L95,0)</f>
        <v>0</v>
      </c>
      <c r="N95" s="17">
        <f>IF($J$6&gt;4,M95,0)</f>
        <v>0</v>
      </c>
      <c r="O95" s="334">
        <f>IF(U97="A",T97,0)</f>
        <v>0</v>
      </c>
      <c r="P95" s="211"/>
      <c r="Q95" s="156">
        <f>((SUM(J93:N93)-SUM(J96:N96))/(CEILING($J$6*9,9)))*9</f>
        <v>0</v>
      </c>
      <c r="R95" s="12"/>
      <c r="S95" s="12"/>
      <c r="T95" s="90"/>
      <c r="V95" s="275"/>
      <c r="W95" s="1"/>
    </row>
    <row r="96" spans="1:23" ht="15.75" customHeight="1" outlineLevel="1" x14ac:dyDescent="0.25">
      <c r="A96" s="481"/>
      <c r="B96" s="55">
        <f>J96/3*O96</f>
        <v>0</v>
      </c>
      <c r="C96" s="55">
        <f>IF($J$6&gt;1,IF($U$1&lt;&gt;0,IF(O96*(1+$O$6)&lt;=$U$1*0.25,O96*K96/3*(1+$O$6),$U$1*0.25*K96/3),O96*K96/3*(1+$O$6)),0)</f>
        <v>0</v>
      </c>
      <c r="D96" s="55">
        <f>IF($J$6&gt;2,IF($U$1&lt;&gt;0,IF(O96*(1+$O$6)^2&lt;=$U$1*0.25,O96*L96/3*(1+$O$6)^2,$U$1*0.25*L96/3),O96*L96/3*(1+$O$6)^2),0)</f>
        <v>0</v>
      </c>
      <c r="E96" s="55">
        <f>IF($J$6&gt;3,IF($U$1&lt;&gt;0,IF(O96*(1+$O$6)^3&lt;=$U$1*0.25,O96*M96/3*(1+$O$6)^3,$U$1*0.25*M96/3),O96*M96/3*(1+$O$6)^3),0)</f>
        <v>0</v>
      </c>
      <c r="F96" s="55">
        <f>IF($J$6&gt;4,IF($U$1&lt;&gt;0,IF(O96*(1+$O$6)^4&lt;=$U$1*0.25,O96*N96/3*(1+$O$6)^4,$U$1*0.25*N96/3),O96*N96/3*(1+$O$6)^4),0)</f>
        <v>0</v>
      </c>
      <c r="G96" s="54">
        <f>SUM(B96:F96)</f>
        <v>0</v>
      </c>
      <c r="H96" s="14"/>
      <c r="I96" s="106" t="s">
        <v>17</v>
      </c>
      <c r="J96" s="16">
        <v>0</v>
      </c>
      <c r="K96" s="16">
        <f>IF($J$6&gt;1,J96,0)</f>
        <v>0</v>
      </c>
      <c r="L96" s="16">
        <f>IF($J$6&gt;2,K96,0)</f>
        <v>0</v>
      </c>
      <c r="M96" s="16">
        <f>IF($J$6&gt;3,L96,0)</f>
        <v>0</v>
      </c>
      <c r="N96" s="16">
        <f>IF($J$6&gt;4,M96,0)</f>
        <v>0</v>
      </c>
      <c r="O96" s="334">
        <f>IF(U97="A",T97*0.000731*420,0)</f>
        <v>0</v>
      </c>
      <c r="P96" s="157"/>
      <c r="Q96" s="157">
        <f>((SUM(J93:N93)-SUM(J95:N95)*9)/(CEILING($J$6*3,3)))*3</f>
        <v>0</v>
      </c>
      <c r="R96" s="12"/>
      <c r="S96" s="12"/>
      <c r="V96" s="275"/>
      <c r="W96" s="1"/>
    </row>
    <row r="97" spans="1:23" ht="15.75" customHeight="1" outlineLevel="1" x14ac:dyDescent="0.25">
      <c r="A97" s="13"/>
      <c r="B97" s="55"/>
      <c r="C97" s="55"/>
      <c r="D97" s="55"/>
      <c r="E97" s="55"/>
      <c r="F97" s="55"/>
      <c r="G97" s="54"/>
      <c r="H97" s="14"/>
      <c r="I97" s="169" t="s">
        <v>109</v>
      </c>
      <c r="J97" s="168">
        <f>SUM(B94:B96)*$V97</f>
        <v>0</v>
      </c>
      <c r="K97" s="168">
        <f>SUM(C94:C96)*$V97</f>
        <v>0</v>
      </c>
      <c r="L97" s="168">
        <f>SUM(D94:D96)*$V97</f>
        <v>0</v>
      </c>
      <c r="M97" s="168">
        <f>SUM(E94:E96)*$V97</f>
        <v>0</v>
      </c>
      <c r="N97" s="168">
        <f>SUM(F94:F96)*$V97</f>
        <v>0</v>
      </c>
      <c r="O97" s="167"/>
      <c r="P97" s="157"/>
      <c r="Q97" s="157"/>
      <c r="R97" s="12"/>
      <c r="S97" s="12"/>
      <c r="T97" s="171"/>
      <c r="U97" s="172"/>
      <c r="V97" s="272">
        <f>J116</f>
        <v>0.13</v>
      </c>
      <c r="W97" s="175"/>
    </row>
    <row r="98" spans="1:23" ht="15.75" customHeight="1" outlineLevel="1" x14ac:dyDescent="0.25">
      <c r="A98" s="13"/>
      <c r="B98" s="55"/>
      <c r="C98" s="55"/>
      <c r="D98" s="56"/>
      <c r="E98" s="56"/>
      <c r="F98" s="56"/>
      <c r="G98" s="54"/>
      <c r="H98" s="14"/>
      <c r="I98" s="42"/>
      <c r="J98" s="5" t="s">
        <v>6</v>
      </c>
      <c r="K98" s="5" t="s">
        <v>5</v>
      </c>
      <c r="L98" s="5" t="s">
        <v>7</v>
      </c>
      <c r="M98" s="5" t="s">
        <v>8</v>
      </c>
      <c r="N98" s="5" t="s">
        <v>9</v>
      </c>
      <c r="O98" s="51" t="s">
        <v>50</v>
      </c>
      <c r="P98" s="154"/>
      <c r="Q98" s="154"/>
      <c r="T98" s="5" t="s">
        <v>50</v>
      </c>
      <c r="U98" s="1"/>
      <c r="V98" s="279"/>
      <c r="W98" s="1"/>
    </row>
    <row r="99" spans="1:23" ht="15.75" customHeight="1" outlineLevel="1" x14ac:dyDescent="0.25">
      <c r="A99" s="450" t="s">
        <v>162</v>
      </c>
      <c r="B99" s="55"/>
      <c r="C99" s="55"/>
      <c r="D99" s="56"/>
      <c r="E99" s="56"/>
      <c r="F99" s="56"/>
      <c r="G99" s="54"/>
      <c r="H99" s="14"/>
      <c r="I99" s="4"/>
      <c r="J99" s="430">
        <f>J100/2080*12</f>
        <v>0</v>
      </c>
      <c r="K99" s="430">
        <f>K100/2080*12</f>
        <v>0</v>
      </c>
      <c r="L99" s="430">
        <f>L100/2080*12</f>
        <v>0</v>
      </c>
      <c r="M99" s="430">
        <f>M100/2080*12</f>
        <v>0</v>
      </c>
      <c r="N99" s="430">
        <f>N100/2080*12</f>
        <v>0</v>
      </c>
      <c r="O99" s="170">
        <f>IF($U$4&lt;&gt;0,IF(T101&lt;$U$4,$U$4,T101),T101)</f>
        <v>15</v>
      </c>
      <c r="P99" s="154"/>
      <c r="Q99" s="154"/>
      <c r="T99" s="90"/>
      <c r="U99" s="1"/>
      <c r="V99" s="279"/>
      <c r="W99" s="1"/>
    </row>
    <row r="100" spans="1:23" ht="15.75" customHeight="1" outlineLevel="1" x14ac:dyDescent="0.25">
      <c r="A100" s="13" t="str">
        <f>J100&amp;" hours @ $"&amp;O99&amp;"/hour"</f>
        <v>0 hours @ $15/hour</v>
      </c>
      <c r="B100" s="55">
        <f>J100*O99</f>
        <v>0</v>
      </c>
      <c r="C100" s="55">
        <f>IF($J$6&gt;1,K100*$O99*(1+$O$6),0)</f>
        <v>0</v>
      </c>
      <c r="D100" s="55">
        <f>IF($J$6&gt;2,L100*$O99*(1+$O$6)^2,0)</f>
        <v>0</v>
      </c>
      <c r="E100" s="55">
        <f>IF($J$6&gt;3,M100*$O99*(1+$O$6)^3,0)</f>
        <v>0</v>
      </c>
      <c r="F100" s="55">
        <f>IF($J$6&gt;4,N100*$O99*(1+$O$6)^4,0)</f>
        <v>0</v>
      </c>
      <c r="G100" s="54">
        <f>SUM(B100:F100)</f>
        <v>0</v>
      </c>
      <c r="H100" s="14"/>
      <c r="I100" s="176" t="s">
        <v>198</v>
      </c>
      <c r="J100" s="25">
        <v>0</v>
      </c>
      <c r="K100" s="25">
        <f>IF($J$6&gt;1,J100,0)</f>
        <v>0</v>
      </c>
      <c r="L100" s="25">
        <f>IF($J$6&gt;2,K100,0)</f>
        <v>0</v>
      </c>
      <c r="M100" s="25">
        <f>IF($J$6&gt;3,L100,0)</f>
        <v>0</v>
      </c>
      <c r="N100" s="25">
        <f>IF($J$6&gt;4,M100,0)</f>
        <v>0</v>
      </c>
      <c r="O100" s="146"/>
      <c r="P100" s="154"/>
      <c r="Q100" s="154"/>
      <c r="U100" s="1"/>
      <c r="V100" s="1"/>
      <c r="W100" s="1"/>
    </row>
    <row r="101" spans="1:23" ht="15.75" customHeight="1" outlineLevel="1" x14ac:dyDescent="0.25">
      <c r="A101" s="13"/>
      <c r="B101" s="55"/>
      <c r="C101" s="55"/>
      <c r="D101" s="55"/>
      <c r="E101" s="55"/>
      <c r="F101" s="55"/>
      <c r="G101" s="54"/>
      <c r="H101" s="14"/>
      <c r="I101" s="169" t="s">
        <v>109</v>
      </c>
      <c r="J101" s="168">
        <f>B100*$V101</f>
        <v>0</v>
      </c>
      <c r="K101" s="168">
        <f>C100*$V101</f>
        <v>0</v>
      </c>
      <c r="L101" s="168">
        <f>D100*$V101</f>
        <v>0</v>
      </c>
      <c r="M101" s="168">
        <f>E100*$V101</f>
        <v>0</v>
      </c>
      <c r="N101" s="168">
        <f>F100*$V101</f>
        <v>0</v>
      </c>
      <c r="O101" s="22"/>
      <c r="P101" s="177"/>
      <c r="Q101" s="177"/>
      <c r="R101" s="175"/>
      <c r="S101" s="175"/>
      <c r="T101" s="178"/>
      <c r="U101" s="175"/>
      <c r="V101" s="272">
        <f>J117</f>
        <v>0.02</v>
      </c>
      <c r="W101" s="175"/>
    </row>
    <row r="102" spans="1:23" ht="15.75" customHeight="1" outlineLevel="1" x14ac:dyDescent="0.25">
      <c r="A102" s="13"/>
      <c r="B102" s="55"/>
      <c r="C102" s="55"/>
      <c r="D102" s="55"/>
      <c r="E102" s="55"/>
      <c r="F102" s="55"/>
      <c r="G102" s="54"/>
      <c r="H102" s="14"/>
      <c r="I102" s="42"/>
      <c r="J102" s="5" t="s">
        <v>6</v>
      </c>
      <c r="K102" s="5" t="s">
        <v>5</v>
      </c>
      <c r="L102" s="5" t="s">
        <v>7</v>
      </c>
      <c r="M102" s="5" t="s">
        <v>8</v>
      </c>
      <c r="N102" s="5" t="s">
        <v>9</v>
      </c>
      <c r="O102" s="51" t="s">
        <v>50</v>
      </c>
      <c r="P102" s="154"/>
      <c r="Q102" s="154"/>
      <c r="T102" s="5" t="s">
        <v>50</v>
      </c>
      <c r="U102" s="1"/>
      <c r="V102" s="277"/>
      <c r="W102" s="1"/>
    </row>
    <row r="103" spans="1:23" ht="15.75" customHeight="1" outlineLevel="1" x14ac:dyDescent="0.25">
      <c r="A103" s="450" t="s">
        <v>162</v>
      </c>
      <c r="B103" s="55"/>
      <c r="C103" s="55"/>
      <c r="D103" s="56"/>
      <c r="E103" s="56"/>
      <c r="F103" s="56"/>
      <c r="G103" s="54"/>
      <c r="H103" s="14"/>
      <c r="I103" s="4"/>
      <c r="J103" s="430">
        <f>J104/2080*12</f>
        <v>0</v>
      </c>
      <c r="K103" s="430">
        <f>K104/2080*12</f>
        <v>0</v>
      </c>
      <c r="L103" s="430">
        <f>L104/2080*12</f>
        <v>0</v>
      </c>
      <c r="M103" s="430">
        <f>M104/2080*12</f>
        <v>0</v>
      </c>
      <c r="N103" s="430">
        <f>N104/2080*12</f>
        <v>0</v>
      </c>
      <c r="O103" s="170">
        <f>IF($U$4&lt;&gt;0,IF(T105&lt;$U$4,$U$4,T105),T105)</f>
        <v>15</v>
      </c>
      <c r="P103" s="154"/>
      <c r="Q103" s="154"/>
      <c r="T103" s="90"/>
      <c r="U103" s="1"/>
      <c r="V103" s="277"/>
      <c r="W103" s="1"/>
    </row>
    <row r="104" spans="1:23" ht="15.75" customHeight="1" outlineLevel="1" x14ac:dyDescent="0.25">
      <c r="A104" s="13" t="str">
        <f>J104&amp;" hours @ $"&amp;O103&amp;"/hour"</f>
        <v>0 hours @ $15/hour</v>
      </c>
      <c r="B104" s="55">
        <f>J104*O103</f>
        <v>0</v>
      </c>
      <c r="C104" s="55">
        <f>IF($J$6&gt;1,K104*$O103*(1+$O$6),0)</f>
        <v>0</v>
      </c>
      <c r="D104" s="55">
        <f>IF($J$6&gt;2,L104*$O103*(1+$O$6)^2,0)</f>
        <v>0</v>
      </c>
      <c r="E104" s="55">
        <f>IF($J$6&gt;3,M104*$O103*(1+$O$6)^3,0)</f>
        <v>0</v>
      </c>
      <c r="F104" s="55">
        <f>IF($J$6&gt;4,N104*$O103*(1+$O$6)^4,0)</f>
        <v>0</v>
      </c>
      <c r="G104" s="54">
        <f>SUM(B104:F104)</f>
        <v>0</v>
      </c>
      <c r="H104" s="14"/>
      <c r="I104" s="176" t="s">
        <v>198</v>
      </c>
      <c r="J104" s="25">
        <v>0</v>
      </c>
      <c r="K104" s="25">
        <f>IF($J$6&gt;1,J104,0)</f>
        <v>0</v>
      </c>
      <c r="L104" s="25">
        <f>IF($J$6&gt;2,K104,0)</f>
        <v>0</v>
      </c>
      <c r="M104" s="25">
        <f>IF($J$6&gt;3,L104,0)</f>
        <v>0</v>
      </c>
      <c r="N104" s="25">
        <f>IF($J$6&gt;4,M104,0)</f>
        <v>0</v>
      </c>
      <c r="O104" s="146"/>
      <c r="P104" s="154"/>
      <c r="Q104" s="154"/>
      <c r="U104" s="1"/>
      <c r="V104" s="1"/>
      <c r="W104" s="1"/>
    </row>
    <row r="105" spans="1:23" ht="15.75" customHeight="1" outlineLevel="1" x14ac:dyDescent="0.25">
      <c r="A105" s="13"/>
      <c r="B105" s="55"/>
      <c r="C105" s="55"/>
      <c r="D105" s="55"/>
      <c r="E105" s="55"/>
      <c r="F105" s="55"/>
      <c r="G105" s="54"/>
      <c r="H105" s="14"/>
      <c r="I105" s="169" t="s">
        <v>109</v>
      </c>
      <c r="J105" s="168">
        <f>B104*$V105</f>
        <v>0</v>
      </c>
      <c r="K105" s="168">
        <f>C104*$V105</f>
        <v>0</v>
      </c>
      <c r="L105" s="168">
        <f>D104*$V105</f>
        <v>0</v>
      </c>
      <c r="M105" s="168">
        <f>E104*$V105</f>
        <v>0</v>
      </c>
      <c r="N105" s="168">
        <f>F104*$V105</f>
        <v>0</v>
      </c>
      <c r="O105" s="22"/>
      <c r="P105" s="177"/>
      <c r="Q105" s="177"/>
      <c r="R105" s="175"/>
      <c r="S105" s="175"/>
      <c r="T105" s="178"/>
      <c r="U105" s="175"/>
      <c r="V105" s="272">
        <f>J117</f>
        <v>0.02</v>
      </c>
      <c r="W105" s="175"/>
    </row>
    <row r="106" spans="1:23" ht="15.75" customHeight="1" outlineLevel="1" x14ac:dyDescent="0.25">
      <c r="A106" s="13"/>
      <c r="B106" s="55"/>
      <c r="C106" s="55"/>
      <c r="D106" s="55"/>
      <c r="E106" s="55"/>
      <c r="F106" s="55"/>
      <c r="G106" s="54"/>
      <c r="H106" s="14"/>
      <c r="I106" s="42"/>
      <c r="J106" s="5" t="s">
        <v>6</v>
      </c>
      <c r="K106" s="5" t="s">
        <v>5</v>
      </c>
      <c r="L106" s="5" t="s">
        <v>7</v>
      </c>
      <c r="M106" s="5" t="s">
        <v>8</v>
      </c>
      <c r="N106" s="5" t="s">
        <v>9</v>
      </c>
      <c r="O106" s="51" t="s">
        <v>50</v>
      </c>
      <c r="P106" s="154"/>
      <c r="Q106" s="154"/>
      <c r="T106" s="5" t="s">
        <v>50</v>
      </c>
      <c r="U106" s="1"/>
      <c r="V106" s="277"/>
      <c r="W106" s="1"/>
    </row>
    <row r="107" spans="1:23" ht="15.75" customHeight="1" outlineLevel="1" x14ac:dyDescent="0.25">
      <c r="A107" s="450" t="s">
        <v>162</v>
      </c>
      <c r="B107" s="55"/>
      <c r="C107" s="55"/>
      <c r="D107" s="56"/>
      <c r="E107" s="56"/>
      <c r="F107" s="56"/>
      <c r="G107" s="54"/>
      <c r="H107" s="14"/>
      <c r="I107" s="324" t="s">
        <v>128</v>
      </c>
      <c r="J107" s="430">
        <f>J108/2080*12</f>
        <v>0</v>
      </c>
      <c r="K107" s="430">
        <f>K108/2080*12</f>
        <v>0</v>
      </c>
      <c r="L107" s="430">
        <f>L108/2080*12</f>
        <v>0</v>
      </c>
      <c r="M107" s="430">
        <f>M108/2080*12</f>
        <v>0</v>
      </c>
      <c r="N107" s="430">
        <f>N108/2080*12</f>
        <v>0</v>
      </c>
      <c r="O107" s="170">
        <f>IF($U$4&lt;&gt;0,IF(T109&lt;$U$4,$U$4,T109),T109)</f>
        <v>15</v>
      </c>
      <c r="P107" s="154"/>
      <c r="Q107" s="154"/>
      <c r="T107" s="90"/>
      <c r="U107" s="1"/>
      <c r="V107" s="277"/>
      <c r="W107" s="1"/>
    </row>
    <row r="108" spans="1:23" ht="15.75" customHeight="1" outlineLevel="1" x14ac:dyDescent="0.25">
      <c r="A108" s="13" t="str">
        <f>J108&amp;" hours @ $"&amp;O107&amp;"/hour"</f>
        <v>0 hours @ $15/hour</v>
      </c>
      <c r="B108" s="55">
        <f>J108*O107</f>
        <v>0</v>
      </c>
      <c r="C108" s="55">
        <f>IF($J$6&gt;1,K108*$O107*(1+$O$6),0)</f>
        <v>0</v>
      </c>
      <c r="D108" s="55">
        <f>IF($J$6&gt;2,L108*$O107*(1+$O$6)^2,0)</f>
        <v>0</v>
      </c>
      <c r="E108" s="55">
        <f>IF($J$6&gt;3,M108*$O107*(1+$O$6)^3,0)</f>
        <v>0</v>
      </c>
      <c r="F108" s="55">
        <f>IF($J$6&gt;4,N108*$O107*(1+$O$6)^4,0)</f>
        <v>0</v>
      </c>
      <c r="G108" s="54">
        <f>SUM(B108:F108)</f>
        <v>0</v>
      </c>
      <c r="H108" s="14"/>
      <c r="I108" s="176" t="s">
        <v>198</v>
      </c>
      <c r="J108" s="25">
        <v>0</v>
      </c>
      <c r="K108" s="25">
        <f>IF($J$6&gt;1,J108,0)</f>
        <v>0</v>
      </c>
      <c r="L108" s="25">
        <f>IF($J$6&gt;2,K108,0)</f>
        <v>0</v>
      </c>
      <c r="M108" s="25">
        <f>IF($J$6&gt;3,L108,0)</f>
        <v>0</v>
      </c>
      <c r="N108" s="25">
        <f>IF($J$6&gt;4,M108,0)</f>
        <v>0</v>
      </c>
      <c r="O108" s="146"/>
      <c r="P108" s="154"/>
      <c r="Q108" s="154"/>
      <c r="U108" s="1"/>
      <c r="V108" s="1"/>
      <c r="W108" s="1"/>
    </row>
    <row r="109" spans="1:23" ht="15.75" customHeight="1" outlineLevel="1" x14ac:dyDescent="0.25">
      <c r="A109" s="13"/>
      <c r="B109" s="55"/>
      <c r="C109" s="55"/>
      <c r="D109" s="55"/>
      <c r="E109" s="55"/>
      <c r="F109" s="55"/>
      <c r="G109" s="54"/>
      <c r="H109" s="14"/>
      <c r="I109" s="169" t="s">
        <v>109</v>
      </c>
      <c r="J109" s="168">
        <f>B108*$V109</f>
        <v>0</v>
      </c>
      <c r="K109" s="168">
        <f>C108*$V109</f>
        <v>0</v>
      </c>
      <c r="L109" s="168">
        <f>D108*$V109</f>
        <v>0</v>
      </c>
      <c r="M109" s="168">
        <f>E108*$V109</f>
        <v>0</v>
      </c>
      <c r="N109" s="168">
        <f>F108*$V109</f>
        <v>0</v>
      </c>
      <c r="O109" s="22"/>
      <c r="P109" s="177"/>
      <c r="Q109" s="177"/>
      <c r="R109" s="175"/>
      <c r="S109" s="175"/>
      <c r="T109" s="178"/>
      <c r="U109" s="175"/>
      <c r="V109" s="272">
        <f>J117</f>
        <v>0.02</v>
      </c>
      <c r="W109" s="175"/>
    </row>
    <row r="110" spans="1:23" x14ac:dyDescent="0.25">
      <c r="A110" s="113" t="s">
        <v>0</v>
      </c>
      <c r="B110" s="61">
        <f>ROUND(SUM(B9:B108),0)</f>
        <v>0</v>
      </c>
      <c r="C110" s="61">
        <f>ROUND(SUM(C9:C108),0)</f>
        <v>0</v>
      </c>
      <c r="D110" s="61">
        <f>ROUND(SUM(D9:D108),0)</f>
        <v>0</v>
      </c>
      <c r="E110" s="61">
        <f>ROUND(SUM(E9:E108),0)</f>
        <v>0</v>
      </c>
      <c r="F110" s="61">
        <f>ROUND(SUM(F9:F108),0)</f>
        <v>0</v>
      </c>
      <c r="G110" s="61">
        <f>SUM(B110:F110)</f>
        <v>0</v>
      </c>
      <c r="H110" s="28"/>
      <c r="P110" s="154"/>
      <c r="Q110" s="154"/>
      <c r="T110" s="90"/>
      <c r="U110" s="1"/>
      <c r="V110" s="1"/>
      <c r="W110" s="1"/>
    </row>
    <row r="111" spans="1:23" x14ac:dyDescent="0.25">
      <c r="B111" s="60"/>
      <c r="C111" s="60"/>
      <c r="D111" s="56"/>
      <c r="E111" s="56"/>
      <c r="F111" s="56"/>
      <c r="G111" s="54"/>
      <c r="P111" s="154"/>
      <c r="Q111" s="154"/>
      <c r="U111" s="1"/>
      <c r="V111" s="1"/>
      <c r="W111" s="1"/>
    </row>
    <row r="112" spans="1:23" x14ac:dyDescent="0.25">
      <c r="A112" s="115" t="s">
        <v>4</v>
      </c>
      <c r="B112" s="60"/>
      <c r="C112" s="60"/>
      <c r="D112" s="56"/>
      <c r="E112" s="56"/>
      <c r="F112" s="56"/>
      <c r="G112" s="54"/>
      <c r="P112" s="154"/>
      <c r="Q112" s="154"/>
      <c r="U112" s="1"/>
      <c r="V112" s="1"/>
      <c r="W112" s="1"/>
    </row>
    <row r="113" spans="1:23" outlineLevel="1" x14ac:dyDescent="0.25">
      <c r="A113" s="104" t="str">
        <f>I113&amp;ROUND(J113*100,2)&amp;"%"</f>
        <v>UA Employees @ 32%</v>
      </c>
      <c r="B113" s="103">
        <f>SUM(B9:B67)*$J113</f>
        <v>0</v>
      </c>
      <c r="C113" s="103">
        <f>SUM(C9:C67)*$J113</f>
        <v>0</v>
      </c>
      <c r="D113" s="103">
        <f>SUM(D9:D67)*$J113</f>
        <v>0</v>
      </c>
      <c r="E113" s="103">
        <f>SUM(E9:E67)*$J113</f>
        <v>0</v>
      </c>
      <c r="F113" s="103">
        <f>SUM(F9:F67)*$J113</f>
        <v>0</v>
      </c>
      <c r="G113" s="62">
        <f t="shared" ref="G113:G118" si="0">SUM(B113:F113)</f>
        <v>0</v>
      </c>
      <c r="H113" s="3"/>
      <c r="I113" s="150" t="s">
        <v>141</v>
      </c>
      <c r="J113" s="149">
        <f>Budget!J117</f>
        <v>0.32</v>
      </c>
      <c r="P113" s="154"/>
      <c r="Q113" s="154"/>
      <c r="U113" s="1"/>
      <c r="V113" s="1"/>
      <c r="W113" s="1"/>
    </row>
    <row r="114" spans="1:23" outlineLevel="1" x14ac:dyDescent="0.25">
      <c r="A114" s="104" t="str">
        <f t="shared" ref="A114:A117" si="1">I114&amp;ROUND(J114*100,2)&amp;"%"</f>
        <v>Faculty - Ancillary @ 17.1%</v>
      </c>
      <c r="B114" s="103">
        <f>SUM(B69:B78)*$J114</f>
        <v>0</v>
      </c>
      <c r="C114" s="103">
        <f>SUM(C69:C78)*$J114</f>
        <v>0</v>
      </c>
      <c r="D114" s="103">
        <f>SUM(D69:D78)*$J114</f>
        <v>0</v>
      </c>
      <c r="E114" s="103">
        <f>SUM(E69:E78)*$J114</f>
        <v>0</v>
      </c>
      <c r="F114" s="103">
        <f>SUM(F69:F78)*$J114</f>
        <v>0</v>
      </c>
      <c r="G114" s="62">
        <f t="shared" si="0"/>
        <v>0</v>
      </c>
      <c r="H114" s="3"/>
      <c r="I114" s="150" t="s">
        <v>142</v>
      </c>
      <c r="J114" s="149">
        <f>Budget!J118</f>
        <v>0.17100000000000001</v>
      </c>
      <c r="N114" s="283"/>
      <c r="P114" s="154"/>
      <c r="Q114" s="154"/>
      <c r="U114" s="1"/>
      <c r="V114" s="1"/>
      <c r="W114" s="1"/>
    </row>
    <row r="115" spans="1:23" hidden="1" outlineLevel="1" x14ac:dyDescent="0.25">
      <c r="A115" s="104" t="str">
        <f t="shared" si="1"/>
        <v>Classified Temporary @ 0%</v>
      </c>
      <c r="B115" s="103">
        <f>SUM(0)*$J115</f>
        <v>0</v>
      </c>
      <c r="C115" s="103">
        <f>SUM(0)*$J115</f>
        <v>0</v>
      </c>
      <c r="D115" s="103">
        <f>SUM(0)*$J115</f>
        <v>0</v>
      </c>
      <c r="E115" s="103">
        <f>SUM(0)*$J115</f>
        <v>0</v>
      </c>
      <c r="F115" s="103">
        <f>SUM(0)*$J115</f>
        <v>0</v>
      </c>
      <c r="G115" s="62">
        <f t="shared" si="0"/>
        <v>0</v>
      </c>
      <c r="H115" s="3"/>
      <c r="I115" s="150" t="s">
        <v>143</v>
      </c>
      <c r="J115" s="149"/>
      <c r="N115" s="284"/>
      <c r="P115" s="154"/>
      <c r="Q115" s="154"/>
      <c r="U115" s="1"/>
      <c r="V115" s="1"/>
      <c r="W115" s="1"/>
    </row>
    <row r="116" spans="1:23" outlineLevel="1" x14ac:dyDescent="0.25">
      <c r="A116" s="104" t="str">
        <f t="shared" si="1"/>
        <v>Graduate Assistants @ 13%</v>
      </c>
      <c r="B116" s="103">
        <f>SUM(B82:B96)*$J116</f>
        <v>0</v>
      </c>
      <c r="C116" s="103">
        <f>SUM(C82:C96)*$J116</f>
        <v>0</v>
      </c>
      <c r="D116" s="103">
        <f>SUM(D82:D96)*$J116</f>
        <v>0</v>
      </c>
      <c r="E116" s="103">
        <f>SUM(E82:E96)*$J116</f>
        <v>0</v>
      </c>
      <c r="F116" s="103">
        <f>SUM(F82:F96)*$J116</f>
        <v>0</v>
      </c>
      <c r="G116" s="62">
        <f t="shared" si="0"/>
        <v>0</v>
      </c>
      <c r="H116" s="3"/>
      <c r="I116" s="150" t="s">
        <v>144</v>
      </c>
      <c r="J116" s="149">
        <f>Budget!J119</f>
        <v>0.13</v>
      </c>
      <c r="P116" s="154"/>
      <c r="Q116" s="154"/>
      <c r="U116" s="1"/>
      <c r="V116" s="1"/>
      <c r="W116" s="1"/>
    </row>
    <row r="117" spans="1:23" outlineLevel="1" x14ac:dyDescent="0.25">
      <c r="A117" s="104" t="str">
        <f t="shared" si="1"/>
        <v>Student Employees @ 2%</v>
      </c>
      <c r="B117" s="103">
        <f>SUM(B100:B108)*$J117</f>
        <v>0</v>
      </c>
      <c r="C117" s="103">
        <f>SUM(C100:C108)*$J117</f>
        <v>0</v>
      </c>
      <c r="D117" s="103">
        <f>SUM(D100:D108)*$J117</f>
        <v>0</v>
      </c>
      <c r="E117" s="103">
        <f>SUM(E100:E108)*$J117</f>
        <v>0</v>
      </c>
      <c r="F117" s="103">
        <f>SUM(F100:F108)*$J117</f>
        <v>0</v>
      </c>
      <c r="G117" s="62">
        <f t="shared" si="0"/>
        <v>0</v>
      </c>
      <c r="H117" s="3"/>
      <c r="I117" s="150" t="s">
        <v>145</v>
      </c>
      <c r="J117" s="149">
        <f>Budget!J120</f>
        <v>0.02</v>
      </c>
      <c r="P117" s="154"/>
      <c r="Q117" s="154"/>
      <c r="U117" s="1"/>
      <c r="V117" s="1"/>
      <c r="W117" s="1"/>
    </row>
    <row r="118" spans="1:23" x14ac:dyDescent="0.25">
      <c r="A118" s="113" t="s">
        <v>1</v>
      </c>
      <c r="B118" s="63">
        <f>ROUND(SUM(B113:B117),0)</f>
        <v>0</v>
      </c>
      <c r="C118" s="63">
        <f>ROUND(SUM(C113:C117),0)</f>
        <v>0</v>
      </c>
      <c r="D118" s="63">
        <f>ROUND(SUM(D113:D117),0)</f>
        <v>0</v>
      </c>
      <c r="E118" s="63">
        <f>ROUND(SUM(E113:E117),0)</f>
        <v>0</v>
      </c>
      <c r="F118" s="63">
        <f>ROUND(SUM(F113:F117),0)</f>
        <v>0</v>
      </c>
      <c r="G118" s="64">
        <f t="shared" si="0"/>
        <v>0</v>
      </c>
      <c r="H118" s="3"/>
      <c r="P118" s="154"/>
      <c r="Q118" s="154"/>
      <c r="U118" s="1"/>
      <c r="V118" s="1"/>
      <c r="W118" s="1"/>
    </row>
    <row r="119" spans="1:23" x14ac:dyDescent="0.25">
      <c r="B119" s="56"/>
      <c r="C119" s="56"/>
      <c r="D119" s="56"/>
      <c r="E119" s="56"/>
      <c r="F119" s="56"/>
      <c r="G119" s="54"/>
      <c r="P119" s="154"/>
      <c r="Q119" s="154"/>
      <c r="U119" s="1"/>
      <c r="V119" s="1"/>
      <c r="W119" s="1"/>
    </row>
    <row r="120" spans="1:23" x14ac:dyDescent="0.25">
      <c r="A120" s="114" t="s">
        <v>95</v>
      </c>
      <c r="B120" s="65">
        <f>B110+B118</f>
        <v>0</v>
      </c>
      <c r="C120" s="65">
        <f>C110+C118</f>
        <v>0</v>
      </c>
      <c r="D120" s="65">
        <f>D110+D118</f>
        <v>0</v>
      </c>
      <c r="E120" s="65">
        <f>E110+E118</f>
        <v>0</v>
      </c>
      <c r="F120" s="65">
        <f>F110+F118</f>
        <v>0</v>
      </c>
      <c r="G120" s="66">
        <f>SUM(B120:F120)</f>
        <v>0</v>
      </c>
      <c r="H120" s="3"/>
      <c r="P120" s="154"/>
      <c r="Q120" s="154"/>
      <c r="U120" s="1"/>
      <c r="V120" s="1"/>
      <c r="W120" s="1"/>
    </row>
    <row r="121" spans="1:23" x14ac:dyDescent="0.25">
      <c r="A121" s="2"/>
      <c r="B121" s="67"/>
      <c r="C121" s="67"/>
      <c r="D121" s="67"/>
      <c r="E121" s="67"/>
      <c r="F121" s="67"/>
      <c r="G121" s="68"/>
      <c r="H121" s="29"/>
      <c r="P121" s="154"/>
      <c r="Q121" s="154"/>
      <c r="U121" s="1"/>
      <c r="V121" s="1"/>
      <c r="W121" s="1"/>
    </row>
    <row r="122" spans="1:23" x14ac:dyDescent="0.25">
      <c r="A122" s="112" t="s">
        <v>39</v>
      </c>
      <c r="B122" s="56"/>
      <c r="C122" s="56"/>
      <c r="D122" s="56"/>
      <c r="E122" s="56"/>
      <c r="F122" s="56"/>
      <c r="G122" s="54"/>
      <c r="P122" s="154"/>
      <c r="Q122" s="154"/>
      <c r="U122" s="1"/>
      <c r="V122" s="1"/>
      <c r="W122" s="1"/>
    </row>
    <row r="123" spans="1:23" outlineLevel="1" x14ac:dyDescent="0.25">
      <c r="A123" s="85" t="s">
        <v>41</v>
      </c>
      <c r="B123" s="69">
        <v>0</v>
      </c>
      <c r="C123" s="69">
        <v>0</v>
      </c>
      <c r="D123" s="69">
        <v>0</v>
      </c>
      <c r="E123" s="69">
        <v>0</v>
      </c>
      <c r="F123" s="69">
        <v>0</v>
      </c>
      <c r="G123" s="54">
        <f>SUM(B123:F123)</f>
        <v>0</v>
      </c>
      <c r="H123" s="14"/>
      <c r="P123" s="154"/>
      <c r="Q123" s="154"/>
      <c r="U123" s="1"/>
      <c r="V123" s="1"/>
      <c r="W123" s="1"/>
    </row>
    <row r="124" spans="1:23" outlineLevel="1" x14ac:dyDescent="0.25">
      <c r="A124" s="85" t="s">
        <v>42</v>
      </c>
      <c r="B124" s="69">
        <v>0</v>
      </c>
      <c r="C124" s="69">
        <v>0</v>
      </c>
      <c r="D124" s="69">
        <v>0</v>
      </c>
      <c r="E124" s="69">
        <v>0</v>
      </c>
      <c r="F124" s="69">
        <v>0</v>
      </c>
      <c r="G124" s="54">
        <f>SUM(B124:F124)</f>
        <v>0</v>
      </c>
      <c r="H124" s="14"/>
      <c r="P124" s="154"/>
      <c r="Q124" s="154"/>
      <c r="U124" s="1"/>
      <c r="V124" s="1"/>
      <c r="W124" s="1"/>
    </row>
    <row r="125" spans="1:23" outlineLevel="1" x14ac:dyDescent="0.25">
      <c r="A125" s="85" t="s">
        <v>43</v>
      </c>
      <c r="B125" s="69">
        <v>0</v>
      </c>
      <c r="C125" s="69">
        <v>0</v>
      </c>
      <c r="D125" s="69">
        <v>0</v>
      </c>
      <c r="E125" s="69">
        <v>0</v>
      </c>
      <c r="F125" s="69">
        <v>0</v>
      </c>
      <c r="G125" s="54">
        <f>SUM(B125:F125)</f>
        <v>0</v>
      </c>
      <c r="H125" s="14"/>
      <c r="P125" s="154"/>
      <c r="Q125" s="154"/>
      <c r="U125" s="1"/>
      <c r="V125" s="1"/>
      <c r="W125" s="1"/>
    </row>
    <row r="126" spans="1:23" x14ac:dyDescent="0.25">
      <c r="A126" s="113" t="s">
        <v>40</v>
      </c>
      <c r="B126" s="61">
        <f>ROUND(SUM(B123:B125),0)</f>
        <v>0</v>
      </c>
      <c r="C126" s="61">
        <f>ROUND(SUM(C123:C125),0)</f>
        <v>0</v>
      </c>
      <c r="D126" s="61">
        <f>ROUND(SUM(D123:D125),0)</f>
        <v>0</v>
      </c>
      <c r="E126" s="61">
        <f>ROUND(SUM(E123:E125),0)</f>
        <v>0</v>
      </c>
      <c r="F126" s="61">
        <f>ROUND(SUM(F123:F125),0)</f>
        <v>0</v>
      </c>
      <c r="G126" s="61">
        <f>SUM(B126:F126)</f>
        <v>0</v>
      </c>
      <c r="H126" s="28"/>
      <c r="P126" s="154"/>
      <c r="Q126" s="154"/>
      <c r="U126" s="1"/>
      <c r="V126" s="1"/>
      <c r="W126" s="1"/>
    </row>
    <row r="127" spans="1:23" x14ac:dyDescent="0.25">
      <c r="B127" s="60"/>
      <c r="C127" s="60"/>
      <c r="D127" s="56"/>
      <c r="E127" s="56"/>
      <c r="F127" s="56"/>
      <c r="G127" s="54"/>
      <c r="P127" s="154"/>
      <c r="Q127" s="154"/>
      <c r="U127" s="1"/>
      <c r="V127" s="1"/>
      <c r="W127" s="1"/>
    </row>
    <row r="128" spans="1:23" x14ac:dyDescent="0.25">
      <c r="A128" s="115" t="s">
        <v>11</v>
      </c>
      <c r="B128" s="68"/>
      <c r="C128" s="68"/>
      <c r="D128" s="68"/>
      <c r="E128" s="68"/>
      <c r="F128" s="68"/>
      <c r="G128" s="68"/>
      <c r="H128" s="29"/>
      <c r="P128" s="154"/>
      <c r="Q128" s="154"/>
      <c r="U128" s="1"/>
      <c r="V128" s="1"/>
      <c r="W128" s="1"/>
    </row>
    <row r="129" spans="1:23" outlineLevel="1" x14ac:dyDescent="0.25">
      <c r="A129" s="13" t="s">
        <v>98</v>
      </c>
      <c r="B129" s="70">
        <v>0</v>
      </c>
      <c r="C129" s="70">
        <v>0</v>
      </c>
      <c r="D129" s="70">
        <v>0</v>
      </c>
      <c r="E129" s="70">
        <v>0</v>
      </c>
      <c r="F129" s="70">
        <v>0</v>
      </c>
      <c r="G129" s="68">
        <f>SUM(B129:F129)</f>
        <v>0</v>
      </c>
      <c r="H129" s="29"/>
      <c r="P129" s="154"/>
      <c r="Q129" s="154"/>
      <c r="U129" s="1"/>
      <c r="V129" s="1"/>
      <c r="W129" s="1"/>
    </row>
    <row r="130" spans="1:23" outlineLevel="1" x14ac:dyDescent="0.25">
      <c r="A130" s="13" t="s">
        <v>99</v>
      </c>
      <c r="B130" s="70">
        <v>0</v>
      </c>
      <c r="C130" s="70">
        <v>0</v>
      </c>
      <c r="D130" s="70">
        <v>0</v>
      </c>
      <c r="E130" s="70">
        <v>0</v>
      </c>
      <c r="F130" s="70">
        <v>0</v>
      </c>
      <c r="G130" s="68">
        <f>SUM(B130:F130)</f>
        <v>0</v>
      </c>
      <c r="H130" s="29"/>
      <c r="P130" s="154"/>
      <c r="Q130" s="154"/>
      <c r="U130" s="1"/>
      <c r="V130" s="1"/>
      <c r="W130" s="1"/>
    </row>
    <row r="131" spans="1:23" x14ac:dyDescent="0.25">
      <c r="A131" s="113" t="s">
        <v>12</v>
      </c>
      <c r="B131" s="71">
        <f>ROUND(SUM(B129:B130),0)</f>
        <v>0</v>
      </c>
      <c r="C131" s="71">
        <f>ROUND(SUM(C129:C130),0)</f>
        <v>0</v>
      </c>
      <c r="D131" s="71">
        <f>ROUND(SUM(D129:D130),0)</f>
        <v>0</v>
      </c>
      <c r="E131" s="71">
        <f>ROUND(SUM(E129:E130),0)</f>
        <v>0</v>
      </c>
      <c r="F131" s="71">
        <f>ROUND(SUM(F129:F130),0)</f>
        <v>0</v>
      </c>
      <c r="G131" s="61">
        <f>SUM(B131:F131)</f>
        <v>0</v>
      </c>
      <c r="H131" s="28"/>
      <c r="P131" s="154"/>
      <c r="Q131" s="154"/>
      <c r="U131" s="1"/>
      <c r="V131" s="1"/>
      <c r="W131" s="1"/>
    </row>
    <row r="132" spans="1:23" x14ac:dyDescent="0.25">
      <c r="B132" s="56"/>
      <c r="C132" s="56"/>
      <c r="D132" s="56"/>
      <c r="E132" s="56"/>
      <c r="F132" s="56"/>
      <c r="G132" s="54"/>
      <c r="P132" s="154"/>
      <c r="Q132" s="154"/>
      <c r="U132" s="1"/>
      <c r="V132" s="1"/>
      <c r="W132" s="1"/>
    </row>
    <row r="133" spans="1:23" x14ac:dyDescent="0.25">
      <c r="A133" s="2" t="s">
        <v>44</v>
      </c>
      <c r="B133" s="56"/>
      <c r="C133" s="56"/>
      <c r="D133" s="56"/>
      <c r="E133" s="56"/>
      <c r="F133" s="56"/>
      <c r="G133" s="54"/>
      <c r="P133" s="154"/>
      <c r="Q133" s="154"/>
      <c r="U133" s="1"/>
      <c r="V133" s="1"/>
      <c r="W133" s="1"/>
    </row>
    <row r="134" spans="1:23" outlineLevel="1" x14ac:dyDescent="0.25">
      <c r="A134" s="43" t="s">
        <v>44</v>
      </c>
      <c r="B134" s="73">
        <v>0</v>
      </c>
      <c r="C134" s="73">
        <v>0</v>
      </c>
      <c r="D134" s="73">
        <v>0</v>
      </c>
      <c r="E134" s="73">
        <v>0</v>
      </c>
      <c r="F134" s="73">
        <v>0</v>
      </c>
      <c r="G134" s="62">
        <f>SUM(B134:F134)</f>
        <v>0</v>
      </c>
      <c r="P134" s="154"/>
      <c r="Q134" s="154"/>
      <c r="U134" s="1"/>
      <c r="V134" s="1"/>
      <c r="W134" s="1"/>
    </row>
    <row r="135" spans="1:23" x14ac:dyDescent="0.25">
      <c r="A135" s="113" t="s">
        <v>155</v>
      </c>
      <c r="B135" s="71">
        <f>ROUND(SUM(B134),0)</f>
        <v>0</v>
      </c>
      <c r="C135" s="71">
        <f>ROUND(SUM(C134),0)</f>
        <v>0</v>
      </c>
      <c r="D135" s="71">
        <f>ROUND(SUM(D134),0)</f>
        <v>0</v>
      </c>
      <c r="E135" s="71">
        <f>ROUND(SUM(E134),0)</f>
        <v>0</v>
      </c>
      <c r="F135" s="71">
        <f>ROUND(SUM(F134),0)</f>
        <v>0</v>
      </c>
      <c r="G135" s="61">
        <f>SUM(B135:F135)</f>
        <v>0</v>
      </c>
      <c r="H135" s="28"/>
      <c r="P135" s="154"/>
      <c r="Q135" s="154"/>
      <c r="U135" s="1"/>
      <c r="V135" s="1"/>
      <c r="W135" s="1"/>
    </row>
    <row r="136" spans="1:23" x14ac:dyDescent="0.25">
      <c r="B136" s="56"/>
      <c r="C136" s="56"/>
      <c r="D136" s="56"/>
      <c r="E136" s="56"/>
      <c r="F136" s="56"/>
      <c r="G136" s="54"/>
      <c r="P136" s="154"/>
      <c r="Q136" s="154"/>
      <c r="U136" s="1"/>
      <c r="V136" s="1"/>
      <c r="W136" s="1"/>
    </row>
    <row r="137" spans="1:23" x14ac:dyDescent="0.25">
      <c r="A137" s="117" t="s">
        <v>33</v>
      </c>
      <c r="B137" s="67"/>
      <c r="C137" s="67"/>
      <c r="D137" s="56"/>
      <c r="E137" s="56"/>
      <c r="F137" s="56"/>
      <c r="G137" s="54"/>
      <c r="P137" s="154"/>
      <c r="Q137" s="154"/>
      <c r="U137" s="1"/>
      <c r="V137" s="1"/>
      <c r="W137" s="1"/>
    </row>
    <row r="138" spans="1:23" outlineLevel="1" x14ac:dyDescent="0.25">
      <c r="A138" s="43" t="s">
        <v>31</v>
      </c>
      <c r="B138" s="73">
        <f>SUM(J80+J86+J92)</f>
        <v>0</v>
      </c>
      <c r="C138" s="73">
        <f t="shared" ref="C138:F138" si="2">SUM(K80+K86+K92)</f>
        <v>0</v>
      </c>
      <c r="D138" s="73">
        <f t="shared" si="2"/>
        <v>0</v>
      </c>
      <c r="E138" s="73">
        <f t="shared" si="2"/>
        <v>0</v>
      </c>
      <c r="F138" s="73">
        <f t="shared" si="2"/>
        <v>0</v>
      </c>
      <c r="G138" s="62">
        <f>SUM(B138:F138)</f>
        <v>0</v>
      </c>
      <c r="P138" s="154"/>
      <c r="Q138" s="154"/>
      <c r="U138" s="1"/>
      <c r="V138" s="1"/>
      <c r="W138" s="1"/>
    </row>
    <row r="139" spans="1:23" outlineLevel="1" x14ac:dyDescent="0.25">
      <c r="A139" s="43" t="s">
        <v>97</v>
      </c>
      <c r="B139" s="72">
        <v>0</v>
      </c>
      <c r="C139" s="72">
        <v>0</v>
      </c>
      <c r="D139" s="72">
        <v>0</v>
      </c>
      <c r="E139" s="72">
        <v>0</v>
      </c>
      <c r="F139" s="72">
        <v>0</v>
      </c>
      <c r="G139" s="62">
        <f>SUM(B139:F139)</f>
        <v>0</v>
      </c>
      <c r="H139" s="3"/>
      <c r="P139" s="154"/>
      <c r="Q139" s="154"/>
      <c r="U139" s="1"/>
      <c r="V139" s="1"/>
      <c r="W139" s="1"/>
    </row>
    <row r="140" spans="1:23" hidden="1" outlineLevel="1" x14ac:dyDescent="0.25">
      <c r="A140" s="43"/>
      <c r="B140" s="73"/>
      <c r="C140" s="73"/>
      <c r="D140" s="73"/>
      <c r="E140" s="73"/>
      <c r="F140" s="73"/>
      <c r="G140" s="62"/>
      <c r="P140" s="154"/>
      <c r="Q140" s="154"/>
      <c r="U140" s="1"/>
      <c r="V140" s="1"/>
      <c r="W140" s="1"/>
    </row>
    <row r="141" spans="1:23" hidden="1" outlineLevel="1" x14ac:dyDescent="0.25">
      <c r="A141" s="43" t="s">
        <v>88</v>
      </c>
      <c r="B141" s="56">
        <v>0</v>
      </c>
      <c r="C141" s="56">
        <v>0</v>
      </c>
      <c r="D141" s="56">
        <v>0</v>
      </c>
      <c r="E141" s="56">
        <v>0</v>
      </c>
      <c r="F141" s="56">
        <v>0</v>
      </c>
      <c r="G141" s="54">
        <f>SUM(B141:F141)</f>
        <v>0</v>
      </c>
      <c r="H141" s="14"/>
      <c r="J141" s="7" t="s">
        <v>6</v>
      </c>
      <c r="K141" s="7" t="s">
        <v>5</v>
      </c>
      <c r="L141" s="7" t="s">
        <v>7</v>
      </c>
      <c r="M141" s="7" t="s">
        <v>8</v>
      </c>
      <c r="N141" s="7" t="s">
        <v>9</v>
      </c>
      <c r="O141" s="7" t="s">
        <v>10</v>
      </c>
      <c r="P141" s="154"/>
      <c r="Q141" s="154"/>
      <c r="U141" s="1"/>
      <c r="V141" s="1"/>
      <c r="W141" s="1"/>
    </row>
    <row r="142" spans="1:23" hidden="1" outlineLevel="1" x14ac:dyDescent="0.25">
      <c r="A142" s="43" t="s">
        <v>89</v>
      </c>
      <c r="B142" s="56">
        <v>0</v>
      </c>
      <c r="C142" s="56">
        <v>0</v>
      </c>
      <c r="D142" s="56">
        <v>0</v>
      </c>
      <c r="E142" s="56">
        <v>0</v>
      </c>
      <c r="F142" s="56">
        <v>0</v>
      </c>
      <c r="G142" s="54">
        <f t="shared" ref="G142:G150" si="3">SUM(B142:F142)</f>
        <v>0</v>
      </c>
      <c r="H142" s="14"/>
      <c r="I142" s="161" t="s">
        <v>156</v>
      </c>
      <c r="J142" s="56">
        <f>B141+B142</f>
        <v>0</v>
      </c>
      <c r="K142" s="56">
        <f>C141+C142</f>
        <v>0</v>
      </c>
      <c r="L142" s="56">
        <f>D141+D142</f>
        <v>0</v>
      </c>
      <c r="M142" s="56">
        <f>E141+E142</f>
        <v>0</v>
      </c>
      <c r="N142" s="56">
        <f>F141+F142</f>
        <v>0</v>
      </c>
      <c r="O142" s="54">
        <f>SUM(J142:N142)</f>
        <v>0</v>
      </c>
      <c r="P142" s="154"/>
      <c r="Q142" s="154"/>
      <c r="U142" s="1"/>
      <c r="V142" s="1"/>
      <c r="W142" s="1"/>
    </row>
    <row r="143" spans="1:23" hidden="1" outlineLevel="1" x14ac:dyDescent="0.25">
      <c r="A143" s="43" t="s">
        <v>90</v>
      </c>
      <c r="B143" s="56">
        <v>0</v>
      </c>
      <c r="C143" s="56">
        <v>0</v>
      </c>
      <c r="D143" s="56">
        <v>0</v>
      </c>
      <c r="E143" s="56">
        <v>0</v>
      </c>
      <c r="F143" s="56">
        <v>0</v>
      </c>
      <c r="G143" s="54">
        <f t="shared" si="3"/>
        <v>0</v>
      </c>
      <c r="H143" s="14"/>
      <c r="I143" s="161"/>
      <c r="O143" s="2"/>
      <c r="P143" s="154"/>
      <c r="Q143" s="154"/>
      <c r="U143" s="1"/>
      <c r="V143" s="1"/>
      <c r="W143" s="1"/>
    </row>
    <row r="144" spans="1:23" hidden="1" outlineLevel="1" x14ac:dyDescent="0.25">
      <c r="A144" s="43" t="s">
        <v>91</v>
      </c>
      <c r="B144" s="56">
        <v>0</v>
      </c>
      <c r="C144" s="56">
        <v>0</v>
      </c>
      <c r="D144" s="56">
        <v>0</v>
      </c>
      <c r="E144" s="56">
        <v>0</v>
      </c>
      <c r="F144" s="56">
        <v>0</v>
      </c>
      <c r="G144" s="54">
        <f t="shared" si="3"/>
        <v>0</v>
      </c>
      <c r="H144" s="14"/>
      <c r="I144" s="161" t="s">
        <v>157</v>
      </c>
      <c r="J144" s="56">
        <f>B143+B144</f>
        <v>0</v>
      </c>
      <c r="K144" s="56">
        <f>C143+C144</f>
        <v>0</v>
      </c>
      <c r="L144" s="56">
        <f>D143+D144</f>
        <v>0</v>
      </c>
      <c r="M144" s="56">
        <f>E143+E144</f>
        <v>0</v>
      </c>
      <c r="N144" s="56">
        <f>F143+F144</f>
        <v>0</v>
      </c>
      <c r="O144" s="54">
        <f>SUM(J144:N144)</f>
        <v>0</v>
      </c>
      <c r="P144" s="154"/>
      <c r="Q144" s="154"/>
      <c r="U144" s="1"/>
      <c r="V144" s="1"/>
      <c r="W144" s="1"/>
    </row>
    <row r="145" spans="1:23" hidden="1" outlineLevel="1" x14ac:dyDescent="0.25">
      <c r="A145" s="43" t="s">
        <v>102</v>
      </c>
      <c r="B145" s="56">
        <v>0</v>
      </c>
      <c r="C145" s="56">
        <v>0</v>
      </c>
      <c r="D145" s="56">
        <v>0</v>
      </c>
      <c r="E145" s="56">
        <v>0</v>
      </c>
      <c r="F145" s="56">
        <v>0</v>
      </c>
      <c r="G145" s="54">
        <f t="shared" si="3"/>
        <v>0</v>
      </c>
      <c r="H145" s="14"/>
      <c r="I145" s="161"/>
      <c r="O145" s="2"/>
      <c r="P145" s="154"/>
      <c r="Q145" s="154"/>
      <c r="U145" s="1"/>
      <c r="V145" s="1"/>
      <c r="W145" s="1"/>
    </row>
    <row r="146" spans="1:23" hidden="1" outlineLevel="1" x14ac:dyDescent="0.25">
      <c r="A146" s="43" t="s">
        <v>103</v>
      </c>
      <c r="B146" s="56">
        <v>0</v>
      </c>
      <c r="C146" s="56">
        <v>0</v>
      </c>
      <c r="D146" s="56">
        <v>0</v>
      </c>
      <c r="E146" s="56">
        <v>0</v>
      </c>
      <c r="F146" s="56">
        <v>0</v>
      </c>
      <c r="G146" s="54">
        <f t="shared" si="3"/>
        <v>0</v>
      </c>
      <c r="H146" s="14"/>
      <c r="I146" s="161" t="s">
        <v>158</v>
      </c>
      <c r="J146" s="56">
        <f>B145+B146</f>
        <v>0</v>
      </c>
      <c r="K146" s="56">
        <f>C145+C146</f>
        <v>0</v>
      </c>
      <c r="L146" s="56">
        <f>D145+D146</f>
        <v>0</v>
      </c>
      <c r="M146" s="56">
        <f>E145+E146</f>
        <v>0</v>
      </c>
      <c r="N146" s="56">
        <f>F145+F146</f>
        <v>0</v>
      </c>
      <c r="O146" s="54">
        <f>SUM(J146:N146)</f>
        <v>0</v>
      </c>
      <c r="P146" s="154"/>
      <c r="Q146" s="154"/>
      <c r="U146" s="1"/>
      <c r="V146" s="1"/>
      <c r="W146" s="1"/>
    </row>
    <row r="147" spans="1:23" hidden="1" outlineLevel="1" x14ac:dyDescent="0.25">
      <c r="A147" s="43" t="s">
        <v>180</v>
      </c>
      <c r="B147" s="56">
        <v>0</v>
      </c>
      <c r="C147" s="56">
        <v>0</v>
      </c>
      <c r="D147" s="56">
        <v>0</v>
      </c>
      <c r="E147" s="56">
        <v>0</v>
      </c>
      <c r="F147" s="56">
        <v>0</v>
      </c>
      <c r="G147" s="54">
        <f t="shared" si="3"/>
        <v>0</v>
      </c>
      <c r="H147" s="14"/>
      <c r="I147" s="161"/>
      <c r="O147" s="2"/>
      <c r="P147" s="154"/>
      <c r="Q147" s="154"/>
      <c r="U147" s="1"/>
      <c r="V147" s="1"/>
      <c r="W147" s="1"/>
    </row>
    <row r="148" spans="1:23" hidden="1" outlineLevel="1" x14ac:dyDescent="0.25">
      <c r="A148" s="43" t="s">
        <v>181</v>
      </c>
      <c r="B148" s="56">
        <v>0</v>
      </c>
      <c r="C148" s="56">
        <v>0</v>
      </c>
      <c r="D148" s="56">
        <v>0</v>
      </c>
      <c r="E148" s="56">
        <v>0</v>
      </c>
      <c r="F148" s="56">
        <v>0</v>
      </c>
      <c r="G148" s="54">
        <f t="shared" si="3"/>
        <v>0</v>
      </c>
      <c r="H148" s="14"/>
      <c r="I148" s="161" t="s">
        <v>163</v>
      </c>
      <c r="J148" s="56">
        <f>B147+B148</f>
        <v>0</v>
      </c>
      <c r="K148" s="56">
        <f>C147+C148</f>
        <v>0</v>
      </c>
      <c r="L148" s="56">
        <f>D147+D148</f>
        <v>0</v>
      </c>
      <c r="M148" s="56">
        <f>E147+E148</f>
        <v>0</v>
      </c>
      <c r="N148" s="56">
        <f>F147+F148</f>
        <v>0</v>
      </c>
      <c r="O148" s="54">
        <f>SUM(J148:N148)</f>
        <v>0</v>
      </c>
      <c r="P148" s="154"/>
      <c r="Q148" s="154"/>
      <c r="U148" s="1"/>
      <c r="V148" s="1"/>
      <c r="W148" s="1"/>
    </row>
    <row r="149" spans="1:23" hidden="1" outlineLevel="1" x14ac:dyDescent="0.25">
      <c r="A149" s="43" t="s">
        <v>182</v>
      </c>
      <c r="B149" s="56">
        <v>0</v>
      </c>
      <c r="C149" s="56">
        <v>0</v>
      </c>
      <c r="D149" s="56">
        <v>0</v>
      </c>
      <c r="E149" s="56">
        <v>0</v>
      </c>
      <c r="F149" s="56">
        <v>0</v>
      </c>
      <c r="G149" s="54">
        <f t="shared" si="3"/>
        <v>0</v>
      </c>
      <c r="H149" s="14"/>
      <c r="I149" s="161"/>
      <c r="P149" s="154"/>
      <c r="Q149" s="154"/>
      <c r="U149" s="1"/>
      <c r="V149" s="1"/>
      <c r="W149" s="1"/>
    </row>
    <row r="150" spans="1:23" hidden="1" outlineLevel="1" x14ac:dyDescent="0.25">
      <c r="A150" s="43" t="s">
        <v>183</v>
      </c>
      <c r="B150" s="56">
        <v>0</v>
      </c>
      <c r="C150" s="56">
        <v>0</v>
      </c>
      <c r="D150" s="56">
        <v>0</v>
      </c>
      <c r="E150" s="56">
        <v>0</v>
      </c>
      <c r="F150" s="56">
        <v>0</v>
      </c>
      <c r="G150" s="54">
        <f t="shared" si="3"/>
        <v>0</v>
      </c>
      <c r="H150" s="14"/>
      <c r="I150" s="161" t="s">
        <v>164</v>
      </c>
      <c r="J150" s="56">
        <f>B149+B150</f>
        <v>0</v>
      </c>
      <c r="K150" s="56">
        <f>C149+C150</f>
        <v>0</v>
      </c>
      <c r="L150" s="56">
        <f>D149+D150</f>
        <v>0</v>
      </c>
      <c r="M150" s="56">
        <f>E149+E150</f>
        <v>0</v>
      </c>
      <c r="N150" s="56">
        <f>F149+F150</f>
        <v>0</v>
      </c>
      <c r="O150" s="54">
        <f>SUM(J150:N150)</f>
        <v>0</v>
      </c>
      <c r="P150" s="154"/>
      <c r="Q150" s="154"/>
      <c r="U150" s="1"/>
      <c r="V150" s="1"/>
      <c r="W150" s="1"/>
    </row>
    <row r="151" spans="1:23" hidden="1" outlineLevel="1" x14ac:dyDescent="0.25">
      <c r="A151" s="118" t="s">
        <v>87</v>
      </c>
      <c r="B151" s="58">
        <f>ROUND(SUM(B141:B150),0)</f>
        <v>0</v>
      </c>
      <c r="C151" s="58">
        <f>ROUND(SUM(C141:C150),0)</f>
        <v>0</v>
      </c>
      <c r="D151" s="58">
        <f>ROUND(SUM(D141:D150),0)</f>
        <v>0</v>
      </c>
      <c r="E151" s="58">
        <f>ROUND(SUM(E141:E150),0)</f>
        <v>0</v>
      </c>
      <c r="F151" s="58">
        <f>ROUND(SUM(F141:F150),0)</f>
        <v>0</v>
      </c>
      <c r="G151" s="59">
        <f>SUM(B151:F151)</f>
        <v>0</v>
      </c>
      <c r="H151" s="28"/>
      <c r="P151" s="154"/>
      <c r="Q151" s="154"/>
      <c r="U151" s="1"/>
      <c r="V151" s="1"/>
      <c r="W151" s="1"/>
    </row>
    <row r="152" spans="1:23" hidden="1" outlineLevel="1" x14ac:dyDescent="0.25">
      <c r="A152" s="44"/>
      <c r="B152" s="75"/>
      <c r="C152" s="75"/>
      <c r="D152" s="75"/>
      <c r="E152" s="75"/>
      <c r="F152" s="75"/>
      <c r="G152" s="75"/>
      <c r="H152" s="28"/>
      <c r="P152" s="154"/>
      <c r="Q152" s="154"/>
      <c r="U152" s="1"/>
      <c r="V152" s="1"/>
      <c r="W152" s="1"/>
    </row>
    <row r="153" spans="1:23" x14ac:dyDescent="0.25">
      <c r="A153" s="119" t="s">
        <v>38</v>
      </c>
      <c r="B153" s="71">
        <f>ROUND(SUM(B138:B139,B151),0)</f>
        <v>0</v>
      </c>
      <c r="C153" s="71">
        <f>ROUND(SUM(C138:C139,C151),0)</f>
        <v>0</v>
      </c>
      <c r="D153" s="71">
        <f>ROUND(SUM(D138:D139,D151),0)</f>
        <v>0</v>
      </c>
      <c r="E153" s="71">
        <f>ROUND(SUM(E138:E139,E151),0)</f>
        <v>0</v>
      </c>
      <c r="F153" s="71">
        <f>ROUND(SUM(F138:F139,F151),0)</f>
        <v>0</v>
      </c>
      <c r="G153" s="61">
        <f>SUM(B153:F153)</f>
        <v>0</v>
      </c>
      <c r="H153" s="28"/>
      <c r="P153" s="154"/>
      <c r="Q153" s="154"/>
      <c r="U153" s="1"/>
      <c r="V153" s="1"/>
      <c r="W153" s="1"/>
    </row>
    <row r="154" spans="1:23" x14ac:dyDescent="0.25">
      <c r="A154" s="117"/>
      <c r="B154" s="256"/>
      <c r="C154" s="256"/>
      <c r="D154" s="256"/>
      <c r="E154" s="256"/>
      <c r="F154" s="256"/>
      <c r="G154" s="75"/>
      <c r="H154" s="28"/>
      <c r="P154" s="154"/>
      <c r="Q154" s="154"/>
      <c r="U154" s="1"/>
      <c r="V154" s="1"/>
      <c r="W154" s="1"/>
    </row>
    <row r="155" spans="1:23" hidden="1" x14ac:dyDescent="0.25">
      <c r="A155" s="257" t="s">
        <v>167</v>
      </c>
      <c r="B155" s="258"/>
      <c r="C155" s="258"/>
      <c r="D155" s="258"/>
      <c r="E155" s="258"/>
      <c r="F155" s="258"/>
      <c r="G155" s="259">
        <f>SUM(B155:F155)</f>
        <v>0</v>
      </c>
      <c r="H155" s="28"/>
      <c r="P155" s="154"/>
      <c r="Q155" s="154"/>
      <c r="U155" s="1"/>
      <c r="V155" s="1"/>
      <c r="W155" s="1"/>
    </row>
    <row r="156" spans="1:23" hidden="1" x14ac:dyDescent="0.25">
      <c r="A156" s="260" t="s">
        <v>168</v>
      </c>
      <c r="B156" s="261">
        <f>B158-B155</f>
        <v>0</v>
      </c>
      <c r="C156" s="261">
        <f>C158-C155</f>
        <v>0</v>
      </c>
      <c r="D156" s="261">
        <f>D158-D155</f>
        <v>0</v>
      </c>
      <c r="E156" s="261">
        <f>E158-E155</f>
        <v>0</v>
      </c>
      <c r="F156" s="261">
        <f>F158-F155</f>
        <v>0</v>
      </c>
      <c r="G156" s="261">
        <f>SUM(B156:F156)</f>
        <v>0</v>
      </c>
      <c r="H156" s="28"/>
      <c r="P156" s="154"/>
      <c r="Q156" s="154"/>
      <c r="U156" s="1"/>
      <c r="V156" s="1"/>
      <c r="W156" s="1"/>
    </row>
    <row r="157" spans="1:23" hidden="1" x14ac:dyDescent="0.25">
      <c r="A157" s="45"/>
      <c r="B157" s="76"/>
      <c r="C157" s="76"/>
      <c r="D157" s="77"/>
      <c r="E157" s="77"/>
      <c r="F157" s="77"/>
      <c r="G157" s="62"/>
      <c r="P157" s="154"/>
      <c r="Q157" s="154"/>
      <c r="U157" s="1"/>
      <c r="V157" s="1"/>
      <c r="W157" s="1"/>
    </row>
    <row r="158" spans="1:23" hidden="1" x14ac:dyDescent="0.25">
      <c r="A158" s="120" t="s">
        <v>92</v>
      </c>
      <c r="B158" s="110">
        <f>B160-B142-B144-B146-B148-B150</f>
        <v>0</v>
      </c>
      <c r="C158" s="110">
        <f>C160-C142-C144-C146-C148-C150</f>
        <v>0</v>
      </c>
      <c r="D158" s="110">
        <f>D160-D142-D144-D146-D148-D150</f>
        <v>0</v>
      </c>
      <c r="E158" s="110">
        <f>E160-E142-E144-E146-E148-E150</f>
        <v>0</v>
      </c>
      <c r="F158" s="110">
        <f>F160-F142-F144-F146-F148-F150</f>
        <v>0</v>
      </c>
      <c r="G158" s="111">
        <f>SUM(B158:F158)</f>
        <v>0</v>
      </c>
      <c r="P158" s="154"/>
      <c r="Q158" s="154"/>
      <c r="U158" s="1"/>
      <c r="V158" s="1"/>
      <c r="W158" s="1"/>
    </row>
    <row r="159" spans="1:23" hidden="1" x14ac:dyDescent="0.25">
      <c r="A159" s="45"/>
      <c r="B159" s="76"/>
      <c r="C159" s="76"/>
      <c r="D159" s="77"/>
      <c r="E159" s="77"/>
      <c r="F159" s="77"/>
      <c r="G159" s="62"/>
      <c r="P159" s="154"/>
      <c r="Q159" s="154"/>
      <c r="U159" s="1"/>
      <c r="V159" s="1"/>
      <c r="W159" s="1"/>
    </row>
    <row r="160" spans="1:23" x14ac:dyDescent="0.25">
      <c r="A160" s="117" t="s">
        <v>2</v>
      </c>
      <c r="B160" s="78">
        <f>SUM(B120,B126,B131,B135,B153)</f>
        <v>0</v>
      </c>
      <c r="C160" s="78">
        <f>SUM(C120,C126,C131,C135,C153)</f>
        <v>0</v>
      </c>
      <c r="D160" s="78">
        <f>SUM(D120,D126,D131,D135,D153)</f>
        <v>0</v>
      </c>
      <c r="E160" s="78">
        <f>SUM(E120,E126,E131,E135,E153)</f>
        <v>0</v>
      </c>
      <c r="F160" s="78">
        <f>SUM(F120,F126,F131,F135,F153)</f>
        <v>0</v>
      </c>
      <c r="G160" s="62">
        <f>SUM(B160:F160)</f>
        <v>0</v>
      </c>
      <c r="H160" s="3"/>
      <c r="P160" s="154"/>
      <c r="Q160" s="154"/>
      <c r="U160" s="1"/>
      <c r="V160" s="1"/>
      <c r="W160" s="1"/>
    </row>
    <row r="161" spans="1:23" x14ac:dyDescent="0.25">
      <c r="A161" s="115"/>
      <c r="B161" s="75"/>
      <c r="C161" s="75"/>
      <c r="D161" s="75"/>
      <c r="E161" s="75"/>
      <c r="F161" s="75"/>
      <c r="G161" s="54"/>
      <c r="H161" s="3"/>
      <c r="P161" s="154"/>
      <c r="Q161" s="154"/>
      <c r="U161" s="1"/>
      <c r="V161" s="1"/>
      <c r="W161" s="1"/>
    </row>
    <row r="162" spans="1:23" x14ac:dyDescent="0.25">
      <c r="A162" s="115" t="s">
        <v>30</v>
      </c>
      <c r="B162" s="75">
        <v>0</v>
      </c>
      <c r="C162" s="75">
        <v>0</v>
      </c>
      <c r="D162" s="75">
        <v>0</v>
      </c>
      <c r="E162" s="75">
        <v>0</v>
      </c>
      <c r="F162" s="75">
        <v>0</v>
      </c>
      <c r="G162" s="62">
        <f>SUM(B162:F162)</f>
        <v>0</v>
      </c>
      <c r="H162" s="3"/>
      <c r="P162" s="154"/>
      <c r="Q162" s="154"/>
      <c r="U162" s="1"/>
      <c r="V162" s="1"/>
      <c r="W162" s="1"/>
    </row>
    <row r="163" spans="1:23" x14ac:dyDescent="0.25">
      <c r="A163" s="13"/>
      <c r="B163" s="56"/>
      <c r="C163" s="56"/>
      <c r="D163" s="56"/>
      <c r="E163" s="56"/>
      <c r="F163" s="56"/>
      <c r="G163" s="54"/>
      <c r="I163" s="160"/>
      <c r="P163" s="154"/>
      <c r="Q163" s="154" t="s">
        <v>132</v>
      </c>
      <c r="U163" s="1"/>
      <c r="V163" s="1"/>
      <c r="W163" s="1"/>
    </row>
    <row r="164" spans="1:23" ht="18" customHeight="1" x14ac:dyDescent="0.25">
      <c r="A164" s="280" t="s">
        <v>176</v>
      </c>
      <c r="B164" s="281">
        <f>B160+B162</f>
        <v>0</v>
      </c>
      <c r="C164" s="281">
        <f t="shared" ref="C164:F164" si="4">C160+C162</f>
        <v>0</v>
      </c>
      <c r="D164" s="281">
        <f t="shared" si="4"/>
        <v>0</v>
      </c>
      <c r="E164" s="281">
        <f t="shared" si="4"/>
        <v>0</v>
      </c>
      <c r="F164" s="281">
        <f t="shared" si="4"/>
        <v>0</v>
      </c>
      <c r="G164" s="281">
        <f>SUM(B164:F164)</f>
        <v>0</v>
      </c>
      <c r="H164" s="3"/>
      <c r="I164" s="159"/>
      <c r="P164" s="154"/>
      <c r="Q164" s="154"/>
      <c r="U164" s="1"/>
      <c r="V164" s="1"/>
      <c r="W164" s="1"/>
    </row>
  </sheetData>
  <mergeCells count="19">
    <mergeCell ref="A89:A90"/>
    <mergeCell ref="A95:A96"/>
    <mergeCell ref="A45:A46"/>
    <mergeCell ref="A1:G2"/>
    <mergeCell ref="I1:O2"/>
    <mergeCell ref="A25:A26"/>
    <mergeCell ref="A30:A31"/>
    <mergeCell ref="A35:A36"/>
    <mergeCell ref="A40:A41"/>
    <mergeCell ref="A50:A51"/>
    <mergeCell ref="A55:A56"/>
    <mergeCell ref="A60:A61"/>
    <mergeCell ref="A65:A66"/>
    <mergeCell ref="A83:A84"/>
    <mergeCell ref="Y1:Z1"/>
    <mergeCell ref="A3:G3"/>
    <mergeCell ref="A10:A11"/>
    <mergeCell ref="A15:A16"/>
    <mergeCell ref="A20:A21"/>
  </mergeCells>
  <conditionalFormatting sqref="B156:G156">
    <cfRule type="cellIs" dxfId="0" priority="1" operator="greaterThan">
      <formula>0</formula>
    </cfRule>
  </conditionalFormatting>
  <dataValidations count="2">
    <dataValidation type="list" allowBlank="1" showInputMessage="1" showErrorMessage="1" sqref="U32 U91 U22 U12 U27 U17 Z3 U85 U37 U62 U52 U42 U57 U47 U67 U97" xr:uid="{00000000-0002-0000-0600-000001000000}">
      <formula1>$Q$4:$Q$5</formula1>
    </dataValidation>
    <dataValidation type="list" allowBlank="1" showInputMessage="1" showErrorMessage="1" sqref="V12 V67 V47 V62 V57 V52 V42 V37 V101 V17 V91 V79 V85 V76 V73 V109 V70 V105 V32 V27 V22 V97" xr:uid="{00000000-0002-0000-0600-000000000000}">
      <formula1>$J$113:$J$117</formula1>
    </dataValidation>
  </dataValidations>
  <pageMargins left="0.7" right="0.7" top="0.75" bottom="0.75" header="0.3" footer="0.3"/>
  <pageSetup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134"/>
  <sheetViews>
    <sheetView zoomScale="80" zoomScaleNormal="80" workbookViewId="0">
      <pane ySplit="5" topLeftCell="A6" activePane="bottomLeft" state="frozen"/>
      <selection activeCell="O39" sqref="O39"/>
      <selection pane="bottomLeft"/>
    </sheetView>
  </sheetViews>
  <sheetFormatPr defaultColWidth="8.7109375" defaultRowHeight="15.75" outlineLevelRow="2" x14ac:dyDescent="0.25"/>
  <cols>
    <col min="1" max="1" width="55.7109375" style="1" customWidth="1"/>
    <col min="2" max="6" width="13.7109375" style="1" customWidth="1"/>
    <col min="7" max="7" width="14.7109375" style="2" customWidth="1"/>
    <col min="8" max="8" width="2.7109375" style="2" customWidth="1"/>
    <col min="9" max="9" width="33" style="1" customWidth="1"/>
    <col min="10" max="14" width="11.7109375" style="1" customWidth="1"/>
    <col min="15" max="15" width="14.42578125" style="1" bestFit="1" customWidth="1"/>
    <col min="16" max="16" width="15" style="1" hidden="1" customWidth="1"/>
    <col min="17" max="17" width="12.28515625" style="1" hidden="1" customWidth="1"/>
    <col min="18" max="18" width="11.42578125" style="1" hidden="1" customWidth="1"/>
    <col min="19" max="19" width="3.42578125" style="1" customWidth="1"/>
    <col min="20" max="20" width="28.42578125" style="1" bestFit="1" customWidth="1"/>
    <col min="21" max="21" width="12.7109375" style="1" customWidth="1"/>
    <col min="22" max="22" width="12" style="92" bestFit="1" customWidth="1"/>
    <col min="23" max="23" width="12.7109375" style="1" bestFit="1" customWidth="1"/>
    <col min="24" max="24" width="11.42578125" style="1" bestFit="1" customWidth="1"/>
    <col min="25" max="16384" width="8.7109375" style="1"/>
  </cols>
  <sheetData>
    <row r="1" spans="1:23" s="2" customFormat="1" ht="40.35" customHeight="1" x14ac:dyDescent="0.3">
      <c r="A1" s="47"/>
      <c r="B1" s="1"/>
      <c r="G1" s="3"/>
      <c r="I1" s="488" t="s">
        <v>18</v>
      </c>
      <c r="J1" s="489"/>
      <c r="K1" s="489"/>
      <c r="L1" s="489"/>
      <c r="M1" s="489"/>
      <c r="N1" s="489"/>
      <c r="O1" s="490"/>
      <c r="U1" s="5"/>
      <c r="V1" s="5"/>
    </row>
    <row r="2" spans="1:23" s="2" customFormat="1" x14ac:dyDescent="0.25">
      <c r="A2" s="480" t="s">
        <v>100</v>
      </c>
      <c r="B2" s="480"/>
      <c r="C2" s="480"/>
      <c r="D2" s="480"/>
      <c r="E2" s="480"/>
      <c r="F2" s="480"/>
      <c r="G2" s="480"/>
      <c r="I2" s="38"/>
      <c r="J2" s="50" t="s">
        <v>28</v>
      </c>
      <c r="K2" s="50"/>
      <c r="L2" s="50"/>
      <c r="M2" s="50"/>
      <c r="N2" s="50"/>
      <c r="O2" s="51" t="s">
        <v>29</v>
      </c>
      <c r="P2" s="1">
        <f>IF(MONTH(J3)&gt;6, 12+7-MONTH(J3), 7-MONTH(J3))</f>
        <v>12</v>
      </c>
      <c r="R2" s="2" t="s">
        <v>125</v>
      </c>
      <c r="T2" s="161" t="s">
        <v>152</v>
      </c>
      <c r="U2" s="163">
        <f>Budget!U1</f>
        <v>0</v>
      </c>
    </row>
    <row r="3" spans="1:23" x14ac:dyDescent="0.25">
      <c r="A3" s="115" t="str">
        <f>"Period of Performance: "&amp;TEXT(J3, "mm/dd/yy")&amp;" - "&amp;TEXT(O3, "mm/dd/yy")&amp;" ["&amp;ROUND(J5,2)&amp; " Year(s)]"</f>
        <v>Period of Performance: 07/01/24 - 01/00/00 [124.5 Year(s)]</v>
      </c>
      <c r="B3" s="116"/>
      <c r="C3" s="116"/>
      <c r="D3" s="116"/>
      <c r="E3" s="116"/>
      <c r="F3" s="116"/>
      <c r="G3" s="115"/>
      <c r="I3" s="53" t="s">
        <v>52</v>
      </c>
      <c r="J3" s="39">
        <f>Budget!J4</f>
        <v>45474</v>
      </c>
      <c r="K3" s="39"/>
      <c r="L3" s="39"/>
      <c r="M3" s="39"/>
      <c r="N3" s="39"/>
      <c r="O3" s="40">
        <f>Budget!O4</f>
        <v>0</v>
      </c>
      <c r="P3" s="1">
        <f>IF(DAY(J3)&gt;1,(P2-1+((DAY(DATE(YEAR(J3),MONTH(J3)+1,0))-DAY(J3))/DAY(DATE(YEAR(J3),MONTH(J3)+1,0)))),P2)</f>
        <v>12</v>
      </c>
      <c r="R3" s="1" t="s">
        <v>123</v>
      </c>
      <c r="T3" s="161" t="s">
        <v>148</v>
      </c>
      <c r="U3" s="252"/>
      <c r="V3" s="253"/>
      <c r="W3" s="184" t="s">
        <v>161</v>
      </c>
    </row>
    <row r="4" spans="1:23" x14ac:dyDescent="0.25">
      <c r="A4" s="491" t="s">
        <v>150</v>
      </c>
      <c r="B4" s="491"/>
      <c r="C4" s="491"/>
      <c r="D4" s="491"/>
      <c r="E4" s="491"/>
      <c r="F4" s="491"/>
      <c r="G4" s="491"/>
      <c r="I4" s="9"/>
      <c r="J4" s="5" t="s">
        <v>80</v>
      </c>
      <c r="K4" s="5"/>
      <c r="L4" s="5"/>
      <c r="M4" s="5"/>
      <c r="N4" s="5"/>
      <c r="O4" s="49" t="s">
        <v>14</v>
      </c>
      <c r="P4" s="1">
        <f>IF(O3-J3&lt;366, P3/((YEAR(O3)-YEAR(J3))*12+MONTH(O3)-MONTH(J3)+1),0)</f>
        <v>-8.0375083724045539E-3</v>
      </c>
      <c r="R4" s="1" t="s">
        <v>124</v>
      </c>
      <c r="T4" s="5" t="s">
        <v>81</v>
      </c>
      <c r="U4" s="5" t="s">
        <v>82</v>
      </c>
      <c r="V4" s="5" t="s">
        <v>86</v>
      </c>
    </row>
    <row r="5" spans="1:23" s="5" customFormat="1" x14ac:dyDescent="0.25">
      <c r="B5" s="6" t="s">
        <v>6</v>
      </c>
      <c r="C5" s="7" t="s">
        <v>5</v>
      </c>
      <c r="D5" s="7" t="s">
        <v>7</v>
      </c>
      <c r="E5" s="7" t="s">
        <v>8</v>
      </c>
      <c r="F5" s="7" t="s">
        <v>9</v>
      </c>
      <c r="G5" s="7" t="s">
        <v>10</v>
      </c>
      <c r="I5" s="8"/>
      <c r="J5" s="52">
        <f>YEARFRAC(J3, O3)</f>
        <v>124.50277777777778</v>
      </c>
      <c r="K5" s="52"/>
      <c r="L5" s="52"/>
      <c r="M5" s="52"/>
      <c r="N5" s="52"/>
      <c r="O5" s="41">
        <v>0</v>
      </c>
      <c r="T5" s="5" t="s">
        <v>51</v>
      </c>
      <c r="U5" s="5" t="s">
        <v>83</v>
      </c>
      <c r="V5" s="5" t="s">
        <v>122</v>
      </c>
    </row>
    <row r="6" spans="1:23" s="2" customFormat="1" x14ac:dyDescent="0.25">
      <c r="A6" s="115" t="s">
        <v>3</v>
      </c>
      <c r="B6" s="54"/>
      <c r="C6" s="54"/>
      <c r="D6" s="54"/>
      <c r="E6" s="54"/>
      <c r="F6" s="54"/>
      <c r="G6" s="54"/>
      <c r="I6" s="9"/>
      <c r="J6" s="5" t="s">
        <v>6</v>
      </c>
      <c r="K6" s="5" t="s">
        <v>5</v>
      </c>
      <c r="L6" s="5" t="s">
        <v>7</v>
      </c>
      <c r="M6" s="5" t="s">
        <v>8</v>
      </c>
      <c r="N6" s="5" t="s">
        <v>9</v>
      </c>
      <c r="O6" s="10"/>
      <c r="T6" s="89"/>
      <c r="U6" s="5"/>
      <c r="V6" s="5"/>
    </row>
    <row r="7" spans="1:23" outlineLevel="2" x14ac:dyDescent="0.25">
      <c r="A7" s="23" t="s">
        <v>84</v>
      </c>
      <c r="B7" s="55"/>
      <c r="C7" s="56"/>
      <c r="D7" s="56"/>
      <c r="E7" s="56"/>
      <c r="F7" s="56"/>
      <c r="G7" s="54"/>
      <c r="I7" s="106" t="s">
        <v>128</v>
      </c>
      <c r="J7" s="5">
        <f>IF(U11="F",J8*12,SUM(J9*9,J10))</f>
        <v>0</v>
      </c>
      <c r="K7" s="5">
        <f>IF(U11="F",K8*12,SUM(K9*9,K10))</f>
        <v>0</v>
      </c>
      <c r="L7" s="5">
        <f>IF(U11="F",L8*12,SUM(L9*9,L10))</f>
        <v>0</v>
      </c>
      <c r="M7" s="5">
        <f>IF(U11="F",M8*12,SUM(M9*9,M10))</f>
        <v>0</v>
      </c>
      <c r="N7" s="5">
        <f>IF(U11="F",N8*12,SUM(N9*9,N10))</f>
        <v>0</v>
      </c>
      <c r="O7" s="49" t="s">
        <v>51</v>
      </c>
      <c r="P7" s="153" t="s">
        <v>126</v>
      </c>
      <c r="Q7" s="153" t="s">
        <v>127</v>
      </c>
      <c r="R7" s="11"/>
      <c r="S7" s="12"/>
      <c r="T7" s="90"/>
      <c r="U7" s="92"/>
    </row>
    <row r="8" spans="1:23" outlineLevel="2" x14ac:dyDescent="0.25">
      <c r="A8" s="13" t="str">
        <f>ROUND(P8*100, 2)&amp;"% Avg. Fiscal Effort, "&amp;ROUND(Q8, 2)&amp;" Avg. Calendar Months"</f>
        <v>0% Avg. Fiscal Effort, 0 Avg. Calendar Months</v>
      </c>
      <c r="B8" s="55">
        <f>O8*J8</f>
        <v>0</v>
      </c>
      <c r="C8" s="55">
        <f>IF($J$5&gt;1,IF($U$2&lt;&gt;0,IF(O8*(1+$O$5)&lt;=$U$2,O8*K8*(1+$O$5),$U$2*K8),O8*K8*(1+$O$5)),0)</f>
        <v>0</v>
      </c>
      <c r="D8" s="55">
        <f>IF($J$5&gt;2,IF($U$2&lt;&gt;0,IF(O8*(1+$O$5)^2&lt;=$U$2,O8*L8*(1+$O$5)^2,$U$2*L8),O8*L8*(1+$O$5)^2),0)</f>
        <v>0</v>
      </c>
      <c r="E8" s="55">
        <f>IF($J$5&gt;3,IF($U$2&lt;&gt;0,IF(O8*(1+$O$5)^3&lt;=$U$2,O8*M8*(1+$O$5)^3,$U$2*M8),O8*M8*(1+$O$5)^3),0)</f>
        <v>0</v>
      </c>
      <c r="F8" s="55">
        <f>IF($J$5&gt;4,IF($U$2&lt;&gt;0,IF(O8*(1+$O$5)^4&lt;=$U$2,O8*N8*(1+$O$5)^4,$U$2*N8),O8*N8*(1+$O$5)^4),0)</f>
        <v>0</v>
      </c>
      <c r="G8" s="54">
        <f>SUM(B8:F8)</f>
        <v>0</v>
      </c>
      <c r="H8" s="14"/>
      <c r="I8" s="106" t="s">
        <v>26</v>
      </c>
      <c r="J8" s="17">
        <v>0</v>
      </c>
      <c r="K8" s="17">
        <f>IF($J$5&gt;1,J8,0)</f>
        <v>0</v>
      </c>
      <c r="L8" s="17">
        <f>IF($J$5&gt;2,K8,0)</f>
        <v>0</v>
      </c>
      <c r="M8" s="17">
        <f>IF($J$5&gt;3,L8,0)</f>
        <v>0</v>
      </c>
      <c r="N8" s="17">
        <f>IF($J$5&gt;4,M8,0)</f>
        <v>0</v>
      </c>
      <c r="O8" s="145">
        <f>IF(U11="F",IF($U$2&lt;&gt;0,IF(T11&gt;$U$2,$U$2,T11),T11),0)</f>
        <v>0</v>
      </c>
      <c r="P8" s="154">
        <f>SUM(J7:N7)/(ROUNDUP($J$5,0)*12)</f>
        <v>0</v>
      </c>
      <c r="Q8" s="155">
        <f>(SUM(J7:N7)/(CEILING($J$5*12,12)))*12</f>
        <v>0</v>
      </c>
      <c r="T8" s="90"/>
      <c r="U8" s="92"/>
    </row>
    <row r="9" spans="1:23" outlineLevel="2" x14ac:dyDescent="0.25">
      <c r="A9" s="481" t="str">
        <f>ROUND(P8*100,2)&amp;"% Annualized Effort, "&amp;ROUND(Q9,2)&amp;" Avg. Academic Months
"&amp;IF(SUM(J10:N10)&gt;0," and "&amp;Q10 &amp;" Avg. Summer Months", "")</f>
        <v xml:space="preserve">0% Annualized Effort, 0 Avg. Academic Months
</v>
      </c>
      <c r="B9" s="55">
        <f>J9*O9</f>
        <v>0</v>
      </c>
      <c r="C9" s="55">
        <f>IF($J$5&gt;1,IF($U$2&lt;&gt;0,IF(O9*(1+$O$5)&lt;=$U$2*0.75,O9*K9*(1+$O$5),$U$2*0.75*K9),O9*K9*(1+$O$5)),0)</f>
        <v>0</v>
      </c>
      <c r="D9" s="55">
        <f>IF($J$5&gt;2,IF($U$2&lt;&gt;0,IF(O9*(1+$O$5)^2&lt;=$U$2*0.75,O9*L9*(1+$O$5)^2,$U$2*0.75*L9),O9*L9*(1+$O$5)^2),0)</f>
        <v>0</v>
      </c>
      <c r="E9" s="55">
        <f>IF($J$5&gt;3,IF($U$2&lt;&gt;0,IF(O9*(1+$O$5)^3&lt;=$U$2*0.75,O9*M9*(1+$O$5)^3,$U$2*0.75*M9),O9*M9*(1+$O$5)^3),0)</f>
        <v>0</v>
      </c>
      <c r="F9" s="55">
        <f>IF($J$5&gt;4,IF($U$2&lt;&gt;0,IF(O9*(1+$O$5)^4&lt;=$U$2*0.75,O9*N9*(1+$O$5)^4,$U$2*0.75*N9),O9*N9*(1+$O$5)^4),0)</f>
        <v>0</v>
      </c>
      <c r="G9" s="54">
        <f>SUM(B9:F9)</f>
        <v>0</v>
      </c>
      <c r="H9" s="14"/>
      <c r="I9" s="106" t="s">
        <v>15</v>
      </c>
      <c r="J9" s="17">
        <v>0</v>
      </c>
      <c r="K9" s="17">
        <f>IF($J$5&gt;1,J9,0)</f>
        <v>0</v>
      </c>
      <c r="L9" s="17">
        <f>IF($J$5&gt;2,K9,0)</f>
        <v>0</v>
      </c>
      <c r="M9" s="17">
        <f>IF($J$5&gt;3,L9,0)</f>
        <v>0</v>
      </c>
      <c r="N9" s="17">
        <f>IF($J$5&gt;4,M9,0)</f>
        <v>0</v>
      </c>
      <c r="O9" s="145">
        <f>IF(U11="A",IF($U$2&lt;&gt;0,IF(T11&gt;($U$2/12*9),($U$2/12*9),T11),T11),0)</f>
        <v>0</v>
      </c>
      <c r="P9" s="166"/>
      <c r="Q9" s="156">
        <f>((SUM(J7:N7)-SUM(J10:N10))/(CEILING($J$5*9,9)))*9</f>
        <v>0</v>
      </c>
      <c r="R9" s="12"/>
      <c r="S9" s="12"/>
      <c r="T9" s="90"/>
      <c r="U9" s="92"/>
    </row>
    <row r="10" spans="1:23" outlineLevel="2" x14ac:dyDescent="0.25">
      <c r="A10" s="481"/>
      <c r="B10" s="55">
        <f>J10/3*O10</f>
        <v>0</v>
      </c>
      <c r="C10" s="55">
        <f>IF($J$5&gt;1,IF($U$2&lt;&gt;0,IF(O10*(1+$O$5)&lt;=$U$2*0.25,O10*K10/3*(1+$O$5),$U$2*0.25*K10/3),O10*K10/3*(1+$O$5)),0)</f>
        <v>0</v>
      </c>
      <c r="D10" s="55">
        <f>IF($J$5&gt;2,IF($U$2&lt;&gt;0,IF(O10*(1+$O$5)^2&lt;=$U$2*0.25,O10*L10/3*(1+$O$5)^2,$U$2*0.25*L10/3),O10*L10/3*(1+$O$5)^2),0)</f>
        <v>0</v>
      </c>
      <c r="E10" s="55">
        <f>IF($J$5&gt;3,IF($U$2&lt;&gt;0,IF(O10*(1+$O$5)^3&lt;=$U$2*0.25,O10*M10/3*(1+$O$5)^3,$U$2*0.25*M10/3),O10*M10/3*(1+$O$5)^3),0)</f>
        <v>0</v>
      </c>
      <c r="F10" s="55">
        <f>IF($J$5&gt;4,IF($U$2&lt;&gt;0,IF(O10*(1+$O$5)^4&lt;=$U$2*0.25,O10*N10/3*(1+$O$5)^4,$U$2*0.25*N10/3),O10*N10/3*(1+$O$5)^4),0)</f>
        <v>0</v>
      </c>
      <c r="G10" s="54">
        <f>SUM(B10:F10)</f>
        <v>0</v>
      </c>
      <c r="H10" s="14"/>
      <c r="I10" s="106" t="s">
        <v>17</v>
      </c>
      <c r="J10" s="16">
        <v>0</v>
      </c>
      <c r="K10" s="16">
        <f>IF($J$5&gt;1,J10,0)</f>
        <v>0</v>
      </c>
      <c r="L10" s="16">
        <f>IF($J$5&gt;2,K10,0)</f>
        <v>0</v>
      </c>
      <c r="M10" s="16">
        <f>IF($J$5&gt;3,L10,0)</f>
        <v>0</v>
      </c>
      <c r="N10" s="16">
        <f>IF($J$5&gt;4,M10,0)</f>
        <v>0</v>
      </c>
      <c r="O10" s="145">
        <f>IF(U11="A",IF($U$2&lt;&gt;0,IF(T11/9*3&gt;($U$2/12*3),($U$2/12*3),T11/9*3),T11/9*3),0)</f>
        <v>0</v>
      </c>
      <c r="P10" s="157"/>
      <c r="Q10" s="157">
        <f>((SUM(J7:N7)-SUM(J9:N9)*9)/(CEILING($J$5*3,3)))*3</f>
        <v>0</v>
      </c>
      <c r="R10" s="12"/>
      <c r="S10" s="12"/>
      <c r="U10" s="92"/>
    </row>
    <row r="11" spans="1:23" outlineLevel="2" x14ac:dyDescent="0.25">
      <c r="A11" s="19"/>
      <c r="B11" s="55"/>
      <c r="C11" s="55"/>
      <c r="D11" s="56"/>
      <c r="E11" s="56"/>
      <c r="F11" s="56"/>
      <c r="G11" s="57"/>
      <c r="H11" s="20"/>
      <c r="I11" s="106" t="s">
        <v>109</v>
      </c>
      <c r="J11" s="147">
        <f>SUM(B8:B10)*$V11</f>
        <v>0</v>
      </c>
      <c r="K11" s="147">
        <f>SUM(C8:C10)*$V11</f>
        <v>0</v>
      </c>
      <c r="L11" s="147">
        <f>SUM(D8:D10)*$V11</f>
        <v>0</v>
      </c>
      <c r="M11" s="147">
        <f>SUM(E8:E10)*$V11</f>
        <v>0</v>
      </c>
      <c r="N11" s="147">
        <f>SUM(F8:F10)*$V11</f>
        <v>0</v>
      </c>
      <c r="O11" s="146"/>
      <c r="P11" s="157"/>
      <c r="Q11" s="157"/>
      <c r="R11" s="12"/>
      <c r="S11" s="12"/>
      <c r="T11" s="143">
        <v>0</v>
      </c>
      <c r="U11" s="144"/>
      <c r="V11" s="148">
        <f>$J$79</f>
        <v>0</v>
      </c>
    </row>
    <row r="12" spans="1:23" outlineLevel="2" x14ac:dyDescent="0.25">
      <c r="A12" s="19"/>
      <c r="B12" s="55"/>
      <c r="C12" s="55"/>
      <c r="D12" s="56"/>
      <c r="E12" s="56"/>
      <c r="F12" s="56"/>
      <c r="G12" s="57"/>
      <c r="H12" s="20"/>
      <c r="I12" s="124"/>
      <c r="J12" s="91"/>
      <c r="K12" s="91"/>
      <c r="L12" s="91"/>
      <c r="M12" s="91"/>
      <c r="N12" s="91"/>
      <c r="O12" s="22"/>
      <c r="P12" s="157"/>
      <c r="Q12" s="157"/>
      <c r="R12" s="12"/>
      <c r="S12" s="12"/>
      <c r="T12" s="90"/>
      <c r="U12" s="92"/>
    </row>
    <row r="13" spans="1:23" outlineLevel="2" x14ac:dyDescent="0.25">
      <c r="A13" s="23" t="s">
        <v>84</v>
      </c>
      <c r="B13" s="55"/>
      <c r="C13" s="56"/>
      <c r="D13" s="56"/>
      <c r="E13" s="56"/>
      <c r="F13" s="56"/>
      <c r="G13" s="54"/>
      <c r="I13" s="106" t="s">
        <v>128</v>
      </c>
      <c r="J13" s="5">
        <f>IF(U17="F",J14*12,SUM(J15*9,J16))</f>
        <v>0</v>
      </c>
      <c r="K13" s="5">
        <f>IF(U17="F",K14*12,SUM(K15*9,K16))</f>
        <v>0</v>
      </c>
      <c r="L13" s="5">
        <f>IF(U17="F",L14*12,SUM(L15*9,L16))</f>
        <v>0</v>
      </c>
      <c r="M13" s="5">
        <f>IF(U17="F",M14*12,SUM(M15*9,M16))</f>
        <v>0</v>
      </c>
      <c r="N13" s="5">
        <f>IF(U17="F",N14*12,SUM(N15*9,N16))</f>
        <v>0</v>
      </c>
      <c r="O13" s="49" t="s">
        <v>51</v>
      </c>
      <c r="P13" s="153" t="s">
        <v>126</v>
      </c>
      <c r="Q13" s="153" t="s">
        <v>127</v>
      </c>
      <c r="R13" s="11"/>
      <c r="S13" s="12"/>
      <c r="T13" s="90"/>
      <c r="U13" s="92"/>
    </row>
    <row r="14" spans="1:23" outlineLevel="2" x14ac:dyDescent="0.25">
      <c r="A14" s="13" t="str">
        <f>ROUND(P14*100, 2)&amp;"% Avg. Fiscal Effort, "&amp;ROUND(Q14, 2)&amp;" Avg. Calendar Months"</f>
        <v>0% Avg. Fiscal Effort, 0 Avg. Calendar Months</v>
      </c>
      <c r="B14" s="55">
        <f>O14*J14</f>
        <v>0</v>
      </c>
      <c r="C14" s="55">
        <f>IF($J$5&gt;1,IF($U$2&lt;&gt;0,IF(O14*(1+$O$5)&lt;=$U$2,O14*K14*(1+$O$5),$U$2*K14),O14*K14*(1+$O$5)),0)</f>
        <v>0</v>
      </c>
      <c r="D14" s="55">
        <f>IF($J$5&gt;2,IF($U$2&lt;&gt;0,IF(O14*(1+$O$5)^2&lt;=$U$2,O14*L14*(1+$O$5)^2,$U$2*L14),O14*L14*(1+$O$5)^2),0)</f>
        <v>0</v>
      </c>
      <c r="E14" s="55">
        <f>IF($J$5&gt;3,IF($U$2&lt;&gt;0,IF(O14*(1+$O$5)^3&lt;=$U$2,O14*M14*(1+$O$5)^3,$U$2*M14),O14*M14*(1+$O$5)^3),0)</f>
        <v>0</v>
      </c>
      <c r="F14" s="55">
        <f>IF($J$5&gt;4,IF($U$2&lt;&gt;0,IF(O14*(1+$O$5)^4&lt;=$U$2,O14*N14*(1+$O$5)^4,$U$2*N14),O14*N14*(1+$O$5)^4),0)</f>
        <v>0</v>
      </c>
      <c r="G14" s="54">
        <f>SUM(B14:F14)</f>
        <v>0</v>
      </c>
      <c r="H14" s="14"/>
      <c r="I14" s="106" t="s">
        <v>26</v>
      </c>
      <c r="J14" s="17">
        <v>0</v>
      </c>
      <c r="K14" s="17">
        <f>IF($J$5&gt;1,J14,0)</f>
        <v>0</v>
      </c>
      <c r="L14" s="17">
        <f>IF($J$5&gt;2,K14,0)</f>
        <v>0</v>
      </c>
      <c r="M14" s="17">
        <f>IF($J$5&gt;3,L14,0)</f>
        <v>0</v>
      </c>
      <c r="N14" s="17">
        <f>IF($J$5&gt;4,M14,0)</f>
        <v>0</v>
      </c>
      <c r="O14" s="145">
        <f>IF(U17="F",IF($U$2&lt;&gt;0,IF(T17&gt;$U$2,$U$2,T17),T17),0)</f>
        <v>0</v>
      </c>
      <c r="P14" s="154">
        <f>SUM(J13:N13)/(ROUNDUP($J$5,0)*12)</f>
        <v>0</v>
      </c>
      <c r="Q14" s="155">
        <f>(SUM(J13:N13)/(CEILING($J$5*12,12)))*12</f>
        <v>0</v>
      </c>
      <c r="T14" s="90"/>
      <c r="U14" s="92"/>
    </row>
    <row r="15" spans="1:23" outlineLevel="2" x14ac:dyDescent="0.25">
      <c r="A15" s="481" t="str">
        <f>ROUND(P14*100,2)&amp;"% Annualized Effort, "&amp;ROUND(Q15,2)&amp;" Avg. Academic Months
"&amp;IF(SUM(J16:N16)&gt;0," and "&amp;Q16 &amp;" Avg. Summer Months", "")</f>
        <v xml:space="preserve">0% Annualized Effort, 0 Avg. Academic Months
</v>
      </c>
      <c r="B15" s="55">
        <f>J15*O15</f>
        <v>0</v>
      </c>
      <c r="C15" s="55">
        <f>IF($J$5&gt;1,IF($U$2&lt;&gt;0,IF(O15*(1+$O$5)&lt;=$U$2*0.75,O15*K15*(1+$O$5),$U$2*0.75*K15),O15*K15*(1+$O$5)),0)</f>
        <v>0</v>
      </c>
      <c r="D15" s="55">
        <f>IF($J$5&gt;2,IF($U$2&lt;&gt;0,IF(O15*(1+$O$5)^2&lt;=$U$2*0.75,O15*L15*(1+$O$5)^2,$U$2*0.75*L15),O15*L15*(1+$O$5)^2),0)</f>
        <v>0</v>
      </c>
      <c r="E15" s="55">
        <f>IF($J$5&gt;3,IF($U$2&lt;&gt;0,IF(O15*(1+$O$5)^3&lt;=$U$2*0.75,O15*M15*(1+$O$5)^3,$U$2*0.75*M15),O15*M15*(1+$O$5)^3),0)</f>
        <v>0</v>
      </c>
      <c r="F15" s="55">
        <f>IF($J$5&gt;4,IF($U$2&lt;&gt;0,IF(O15*(1+$O$5)^4&lt;=$U$2*0.75,O15*N15*(1+$O$5)^4,$U$2*0.75*N15),O15*N15*(1+$O$5)^4),0)</f>
        <v>0</v>
      </c>
      <c r="G15" s="54">
        <f>SUM(B15:F15)</f>
        <v>0</v>
      </c>
      <c r="H15" s="14"/>
      <c r="I15" s="106" t="s">
        <v>15</v>
      </c>
      <c r="J15" s="17">
        <v>0</v>
      </c>
      <c r="K15" s="17">
        <f>IF($J$5&gt;1,J15,0)</f>
        <v>0</v>
      </c>
      <c r="L15" s="17">
        <f>IF($J$5&gt;2,K15,0)</f>
        <v>0</v>
      </c>
      <c r="M15" s="17">
        <f>IF($J$5&gt;3,L15,0)</f>
        <v>0</v>
      </c>
      <c r="N15" s="17">
        <f>IF($J$5&gt;4,M15,0)</f>
        <v>0</v>
      </c>
      <c r="O15" s="145">
        <f>IF(U17="A",IF($U$2&lt;&gt;0,IF(T17&gt;($U$2/12*9),($U$2/12*9),T17),T17),0)</f>
        <v>0</v>
      </c>
      <c r="P15" s="166"/>
      <c r="Q15" s="156">
        <f>((SUM(J13:N13)-SUM(J16:N16))/(CEILING($J$5*9,9)))*9</f>
        <v>0</v>
      </c>
      <c r="R15" s="12"/>
      <c r="S15" s="12"/>
      <c r="T15" s="90"/>
      <c r="U15" s="92"/>
    </row>
    <row r="16" spans="1:23" outlineLevel="2" x14ac:dyDescent="0.25">
      <c r="A16" s="481"/>
      <c r="B16" s="55">
        <f>J16/3*O16</f>
        <v>0</v>
      </c>
      <c r="C16" s="55">
        <f>IF($J$5&gt;1,IF($U$2&lt;&gt;0,IF(O16*(1+$O$5)&lt;=$U$2*0.25,O16*K16/3*(1+$O$5),$U$2*0.25*K16/3),O16*K16/3*(1+$O$5)),0)</f>
        <v>0</v>
      </c>
      <c r="D16" s="55">
        <f>IF($J$5&gt;2,IF($U$2&lt;&gt;0,IF(O16*(1+$O$5)^2&lt;=$U$2*0.25,O16*L16/3*(1+$O$5)^2,$U$2*0.25*L16/3),O16*L16/3*(1+$O$5)^2),0)</f>
        <v>0</v>
      </c>
      <c r="E16" s="55">
        <f>IF($J$5&gt;3,IF($U$2&lt;&gt;0,IF(O16*(1+$O$5)^3&lt;=$U$2*0.25,O16*M16/3*(1+$O$5)^3,$U$2*0.25*M16/3),O16*M16/3*(1+$O$5)^3),0)</f>
        <v>0</v>
      </c>
      <c r="F16" s="55">
        <f>IF($J$5&gt;4,IF($U$2&lt;&gt;0,IF(O16*(1+$O$5)^4&lt;=$U$2*0.25,O16*N16/3*(1+$O$5)^4,$U$2*0.25*N16/3),O16*N16/3*(1+$O$5)^4),0)</f>
        <v>0</v>
      </c>
      <c r="G16" s="54">
        <f>SUM(B16:F16)</f>
        <v>0</v>
      </c>
      <c r="H16" s="14"/>
      <c r="I16" s="106" t="s">
        <v>17</v>
      </c>
      <c r="J16" s="16">
        <v>0</v>
      </c>
      <c r="K16" s="16">
        <f>IF($J$5&gt;1,J16,0)</f>
        <v>0</v>
      </c>
      <c r="L16" s="16">
        <f>IF($J$5&gt;2,K16,0)</f>
        <v>0</v>
      </c>
      <c r="M16" s="16">
        <f>IF($J$5&gt;3,L16,0)</f>
        <v>0</v>
      </c>
      <c r="N16" s="16">
        <f>IF($J$5&gt;4,M16,0)</f>
        <v>0</v>
      </c>
      <c r="O16" s="145">
        <f>IF(U17="A",IF($U$2&lt;&gt;0,IF(T17/9*3&gt;($U$2/12*3),($U$2/12*3),T17/9*3),T17/9*3),0)</f>
        <v>0</v>
      </c>
      <c r="P16" s="157"/>
      <c r="Q16" s="157">
        <f>((SUM(J13:N13)-SUM(J15:N15)*9)/(CEILING($J$5*3,3)))*3</f>
        <v>0</v>
      </c>
      <c r="R16" s="12"/>
      <c r="S16" s="12"/>
      <c r="U16" s="92"/>
    </row>
    <row r="17" spans="1:22" outlineLevel="2" x14ac:dyDescent="0.25">
      <c r="A17" s="19"/>
      <c r="B17" s="55"/>
      <c r="C17" s="55"/>
      <c r="D17" s="56"/>
      <c r="E17" s="56"/>
      <c r="F17" s="56"/>
      <c r="G17" s="57"/>
      <c r="H17" s="20"/>
      <c r="I17" s="106" t="s">
        <v>109</v>
      </c>
      <c r="J17" s="147">
        <f>SUM(B14:B16)*$V17</f>
        <v>0</v>
      </c>
      <c r="K17" s="147">
        <f>SUM(C14:C16)*$V17</f>
        <v>0</v>
      </c>
      <c r="L17" s="147">
        <f>SUM(D14:D16)*$V17</f>
        <v>0</v>
      </c>
      <c r="M17" s="147">
        <f>SUM(E14:E16)*$V17</f>
        <v>0</v>
      </c>
      <c r="N17" s="147">
        <f>SUM(F14:F16)*$V17</f>
        <v>0</v>
      </c>
      <c r="O17" s="146"/>
      <c r="P17" s="157"/>
      <c r="Q17" s="157"/>
      <c r="R17" s="12"/>
      <c r="S17" s="12"/>
      <c r="T17" s="143">
        <v>0</v>
      </c>
      <c r="U17" s="144"/>
      <c r="V17" s="148">
        <f>$J$79</f>
        <v>0</v>
      </c>
    </row>
    <row r="18" spans="1:22" outlineLevel="2" x14ac:dyDescent="0.25">
      <c r="A18" s="19"/>
      <c r="B18" s="55"/>
      <c r="C18" s="55"/>
      <c r="D18" s="56"/>
      <c r="E18" s="56"/>
      <c r="F18" s="56"/>
      <c r="G18" s="57"/>
      <c r="H18" s="20"/>
      <c r="I18" s="124"/>
      <c r="J18" s="91"/>
      <c r="K18" s="91"/>
      <c r="L18" s="91"/>
      <c r="M18" s="91"/>
      <c r="N18" s="91"/>
      <c r="O18" s="22"/>
      <c r="P18" s="157"/>
      <c r="Q18" s="157"/>
      <c r="R18" s="12"/>
      <c r="S18" s="12"/>
      <c r="T18" s="90"/>
      <c r="U18" s="92"/>
    </row>
    <row r="19" spans="1:22" outlineLevel="2" x14ac:dyDescent="0.25">
      <c r="A19" s="23" t="s">
        <v>84</v>
      </c>
      <c r="B19" s="55"/>
      <c r="C19" s="56"/>
      <c r="D19" s="56"/>
      <c r="E19" s="56"/>
      <c r="F19" s="56"/>
      <c r="G19" s="54"/>
      <c r="I19" s="106" t="s">
        <v>128</v>
      </c>
      <c r="J19" s="5">
        <f>IF(U23="F",J20*12,SUM(J21*9,J22))</f>
        <v>0</v>
      </c>
      <c r="K19" s="5">
        <f>IF(U23="F",K20*12,SUM(K21*9,K22))</f>
        <v>0</v>
      </c>
      <c r="L19" s="5">
        <f>IF(U23="F",L20*12,SUM(L21*9,L22))</f>
        <v>0</v>
      </c>
      <c r="M19" s="5">
        <f>IF(U23="F",M20*12,SUM(M21*9,M22))</f>
        <v>0</v>
      </c>
      <c r="N19" s="5">
        <f>IF(U23="F",N20*12,SUM(N21*9,N22))</f>
        <v>0</v>
      </c>
      <c r="O19" s="49" t="s">
        <v>51</v>
      </c>
      <c r="P19" s="153" t="s">
        <v>126</v>
      </c>
      <c r="Q19" s="153" t="s">
        <v>127</v>
      </c>
      <c r="R19" s="11"/>
      <c r="S19" s="12"/>
      <c r="T19" s="90"/>
      <c r="U19" s="92"/>
    </row>
    <row r="20" spans="1:22" outlineLevel="2" x14ac:dyDescent="0.25">
      <c r="A20" s="13" t="str">
        <f>ROUND(P20*100, 2)&amp;"% Avg. Fiscal Effort, "&amp;ROUND(Q20, 2)&amp;" Avg. Calendar Months"</f>
        <v>0% Avg. Fiscal Effort, 0 Avg. Calendar Months</v>
      </c>
      <c r="B20" s="55">
        <f>O20*J20</f>
        <v>0</v>
      </c>
      <c r="C20" s="55">
        <f>IF($J$5&gt;1,IF($U$2&lt;&gt;0,IF(O20*(1+$O$5)&lt;=$U$2,O20*K20*(1+$O$5),$U$2*K20),O20*K20*(1+$O$5)),0)</f>
        <v>0</v>
      </c>
      <c r="D20" s="55">
        <f>IF($J$5&gt;2,IF($U$2&lt;&gt;0,IF(O20*(1+$O$5)^2&lt;=$U$2,O20*L20*(1+$O$5)^2,$U$2*L20),O20*L20*(1+$O$5)^2),0)</f>
        <v>0</v>
      </c>
      <c r="E20" s="55">
        <f>IF($J$5&gt;3,IF($U$2&lt;&gt;0,IF(O20*(1+$O$5)^3&lt;=$U$2,O20*M20*(1+$O$5)^3,$U$2*M20),O20*M20*(1+$O$5)^3),0)</f>
        <v>0</v>
      </c>
      <c r="F20" s="55">
        <f>IF($J$5&gt;4,IF($U$2&lt;&gt;0,IF(O20*(1+$O$5)^4&lt;=$U$2,O20*N20*(1+$O$5)^4,$U$2*N20),O20*N20*(1+$O$5)^4),0)</f>
        <v>0</v>
      </c>
      <c r="G20" s="54">
        <f>SUM(B20:F20)</f>
        <v>0</v>
      </c>
      <c r="H20" s="14"/>
      <c r="I20" s="106" t="s">
        <v>26</v>
      </c>
      <c r="J20" s="17">
        <v>0</v>
      </c>
      <c r="K20" s="17">
        <f>IF($J$5&gt;1,J20,0)</f>
        <v>0</v>
      </c>
      <c r="L20" s="17">
        <f>IF($J$5&gt;2,K20,0)</f>
        <v>0</v>
      </c>
      <c r="M20" s="17">
        <f>IF($J$5&gt;3,L20,0)</f>
        <v>0</v>
      </c>
      <c r="N20" s="17">
        <f>IF($J$5&gt;4,M20,0)</f>
        <v>0</v>
      </c>
      <c r="O20" s="145">
        <f>IF(U23="F",IF($U$2&lt;&gt;0,IF(T23&gt;$U$2,$U$2,T23),T23),0)</f>
        <v>0</v>
      </c>
      <c r="P20" s="154">
        <f>SUM(J19:N19)/(ROUNDUP($J$5,0)*12)</f>
        <v>0</v>
      </c>
      <c r="Q20" s="155">
        <f>(SUM(J19:N19)/(CEILING($J$5*12,12)))*12</f>
        <v>0</v>
      </c>
      <c r="T20" s="90"/>
      <c r="U20" s="92"/>
    </row>
    <row r="21" spans="1:22" outlineLevel="2" x14ac:dyDescent="0.25">
      <c r="A21" s="481" t="str">
        <f>ROUND(P20*100,2)&amp;"% Annualized Effort, "&amp;ROUND(Q21,2)&amp;" Avg. Academic Months
"&amp;IF(SUM(J22:N22)&gt;0," and "&amp;Q22 &amp;" Avg. Summer Months", "")</f>
        <v xml:space="preserve">0% Annualized Effort, 0 Avg. Academic Months
</v>
      </c>
      <c r="B21" s="55">
        <f>J21*O21</f>
        <v>0</v>
      </c>
      <c r="C21" s="55">
        <f>IF($J$5&gt;1,IF($U$2&lt;&gt;0,IF(O21*(1+$O$5)&lt;=$U$2*0.75,O21*K21*(1+$O$5),$U$2*0.75*K21),O21*K21*(1+$O$5)),0)</f>
        <v>0</v>
      </c>
      <c r="D21" s="55">
        <f>IF($J$5&gt;2,IF($U$2&lt;&gt;0,IF(O21*(1+$O$5)^2&lt;=$U$2*0.75,O21*L21*(1+$O$5)^2,$U$2*0.75*L21),O21*L21*(1+$O$5)^2),0)</f>
        <v>0</v>
      </c>
      <c r="E21" s="55">
        <f>IF($J$5&gt;3,IF($U$2&lt;&gt;0,IF(O21*(1+$O$5)^3&lt;=$U$2*0.75,O21*M21*(1+$O$5)^3,$U$2*0.75*M21),O21*M21*(1+$O$5)^3),0)</f>
        <v>0</v>
      </c>
      <c r="F21" s="55">
        <f>IF($J$5&gt;4,IF($U$2&lt;&gt;0,IF(O21*(1+$O$5)^4&lt;=$U$2*0.75,O21*N21*(1+$O$5)^4,$U$2*0.75*N21),O21*N21*(1+$O$5)^4),0)</f>
        <v>0</v>
      </c>
      <c r="G21" s="54">
        <f>SUM(B21:F21)</f>
        <v>0</v>
      </c>
      <c r="H21" s="14"/>
      <c r="I21" s="106" t="s">
        <v>15</v>
      </c>
      <c r="J21" s="17">
        <v>0</v>
      </c>
      <c r="K21" s="17">
        <f>IF($J$5&gt;1,J21,0)</f>
        <v>0</v>
      </c>
      <c r="L21" s="17">
        <f>IF($J$5&gt;2,K21,0)</f>
        <v>0</v>
      </c>
      <c r="M21" s="17">
        <f>IF($J$5&gt;3,L21,0)</f>
        <v>0</v>
      </c>
      <c r="N21" s="17">
        <f>IF($J$5&gt;4,M21,0)</f>
        <v>0</v>
      </c>
      <c r="O21" s="145">
        <f>IF(U23="A",IF($U$2&lt;&gt;0,IF(T23&gt;($U$2/12*9),($U$2/12*9),T23),T23),0)</f>
        <v>0</v>
      </c>
      <c r="P21" s="166"/>
      <c r="Q21" s="156">
        <f>((SUM(J19:N19)-SUM(J22:N22))/(CEILING($J$5*9,9)))*9</f>
        <v>0</v>
      </c>
      <c r="R21" s="12"/>
      <c r="S21" s="12"/>
      <c r="T21" s="90"/>
      <c r="U21" s="92"/>
    </row>
    <row r="22" spans="1:22" outlineLevel="2" x14ac:dyDescent="0.25">
      <c r="A22" s="481"/>
      <c r="B22" s="55">
        <f>J22/3*O22</f>
        <v>0</v>
      </c>
      <c r="C22" s="55">
        <f>IF($J$5&gt;1,IF($U$2&lt;&gt;0,IF(O22*(1+$O$5)&lt;=$U$2*0.25,O22*K22/3*(1+$O$5),$U$2*0.25*K22/3),O22*K22/3*(1+$O$5)),0)</f>
        <v>0</v>
      </c>
      <c r="D22" s="55">
        <f>IF($J$5&gt;2,IF($U$2&lt;&gt;0,IF(O22*(1+$O$5)^2&lt;=$U$2*0.25,O22*L22/3*(1+$O$5)^2,$U$2*0.25*L22/3),O22*L22/3*(1+$O$5)^2),0)</f>
        <v>0</v>
      </c>
      <c r="E22" s="55">
        <f>IF($J$5&gt;3,IF($U$2&lt;&gt;0,IF(O22*(1+$O$5)^3&lt;=$U$2*0.25,O22*M22/3*(1+$O$5)^3,$U$2*0.25*M22/3),O22*M22/3*(1+$O$5)^3),0)</f>
        <v>0</v>
      </c>
      <c r="F22" s="55">
        <f>IF($J$5&gt;4,IF($U$2&lt;&gt;0,IF(O22*(1+$O$5)^4&lt;=$U$2*0.25,O22*N22/3*(1+$O$5)^4,$U$2*0.25*N22/3),O22*N22/3*(1+$O$5)^4),0)</f>
        <v>0</v>
      </c>
      <c r="G22" s="54">
        <f>SUM(B22:F22)</f>
        <v>0</v>
      </c>
      <c r="H22" s="14"/>
      <c r="I22" s="106" t="s">
        <v>17</v>
      </c>
      <c r="J22" s="16">
        <v>0</v>
      </c>
      <c r="K22" s="16">
        <f>IF($J$5&gt;1,J22,0)</f>
        <v>0</v>
      </c>
      <c r="L22" s="16">
        <f>IF($J$5&gt;2,K22,0)</f>
        <v>0</v>
      </c>
      <c r="M22" s="16">
        <f>IF($J$5&gt;3,L22,0)</f>
        <v>0</v>
      </c>
      <c r="N22" s="16">
        <f>IF($J$5&gt;4,M22,0)</f>
        <v>0</v>
      </c>
      <c r="O22" s="145">
        <f>IF(U23="A",IF($U$2&lt;&gt;0,IF(T23/9*3&gt;($U$2/12*3),($U$2/12*3),T23/9*3),T23/9*3),0)</f>
        <v>0</v>
      </c>
      <c r="P22" s="157"/>
      <c r="Q22" s="157">
        <f>((SUM(J19:N19)-SUM(J21:N21)*9)/(CEILING($J$5*3,3)))*3</f>
        <v>0</v>
      </c>
      <c r="R22" s="12"/>
      <c r="S22" s="12"/>
      <c r="U22" s="92"/>
    </row>
    <row r="23" spans="1:22" outlineLevel="2" x14ac:dyDescent="0.25">
      <c r="A23" s="19"/>
      <c r="B23" s="55"/>
      <c r="C23" s="55"/>
      <c r="D23" s="56"/>
      <c r="E23" s="56"/>
      <c r="F23" s="56"/>
      <c r="G23" s="57"/>
      <c r="H23" s="20"/>
      <c r="I23" s="106" t="s">
        <v>109</v>
      </c>
      <c r="J23" s="147">
        <f>SUM(B20:B22)*$V23</f>
        <v>0</v>
      </c>
      <c r="K23" s="147">
        <f>SUM(C20:C22)*$V23</f>
        <v>0</v>
      </c>
      <c r="L23" s="147">
        <f>SUM(D20:D22)*$V23</f>
        <v>0</v>
      </c>
      <c r="M23" s="147">
        <f>SUM(E20:E22)*$V23</f>
        <v>0</v>
      </c>
      <c r="N23" s="147">
        <f>SUM(F20:F22)*$V23</f>
        <v>0</v>
      </c>
      <c r="O23" s="146"/>
      <c r="P23" s="157"/>
      <c r="Q23" s="157"/>
      <c r="R23" s="12"/>
      <c r="S23" s="12"/>
      <c r="T23" s="143">
        <v>0</v>
      </c>
      <c r="U23" s="144"/>
      <c r="V23" s="148">
        <f>$J$79</f>
        <v>0</v>
      </c>
    </row>
    <row r="24" spans="1:22" outlineLevel="2" x14ac:dyDescent="0.25">
      <c r="A24" s="19"/>
      <c r="B24" s="55"/>
      <c r="C24" s="55"/>
      <c r="D24" s="56"/>
      <c r="E24" s="56"/>
      <c r="F24" s="56"/>
      <c r="G24" s="57"/>
      <c r="H24" s="20"/>
      <c r="I24" s="124"/>
      <c r="J24" s="91"/>
      <c r="K24" s="91"/>
      <c r="L24" s="91"/>
      <c r="M24" s="91"/>
      <c r="N24" s="91"/>
      <c r="O24" s="22"/>
      <c r="P24" s="157"/>
      <c r="Q24" s="157"/>
      <c r="R24" s="12"/>
      <c r="S24" s="12"/>
      <c r="T24" s="90"/>
      <c r="U24" s="92"/>
    </row>
    <row r="25" spans="1:22" outlineLevel="2" x14ac:dyDescent="0.25">
      <c r="A25" s="23" t="s">
        <v>84</v>
      </c>
      <c r="B25" s="55"/>
      <c r="C25" s="56"/>
      <c r="D25" s="56"/>
      <c r="E25" s="56"/>
      <c r="F25" s="56"/>
      <c r="G25" s="54"/>
      <c r="I25" s="106" t="s">
        <v>128</v>
      </c>
      <c r="J25" s="5">
        <f>IF(U29="F",J26*12,SUM(J27*9,J28))</f>
        <v>0</v>
      </c>
      <c r="K25" s="5">
        <f>IF(U29="F",K26*12,SUM(K27*9,K28))</f>
        <v>0</v>
      </c>
      <c r="L25" s="5">
        <f>IF(U29="F",L26*12,SUM(L27*9,L28))</f>
        <v>0</v>
      </c>
      <c r="M25" s="5">
        <f>IF(U29="F",M26*12,SUM(M27*9,M28))</f>
        <v>0</v>
      </c>
      <c r="N25" s="5">
        <f>IF(U29="F",N26*12,SUM(N27*9,N28))</f>
        <v>0</v>
      </c>
      <c r="O25" s="49" t="s">
        <v>51</v>
      </c>
      <c r="P25" s="153" t="s">
        <v>126</v>
      </c>
      <c r="Q25" s="153" t="s">
        <v>127</v>
      </c>
      <c r="R25" s="11"/>
      <c r="S25" s="12"/>
      <c r="T25" s="90"/>
      <c r="U25" s="92"/>
    </row>
    <row r="26" spans="1:22" outlineLevel="2" x14ac:dyDescent="0.25">
      <c r="A26" s="13" t="str">
        <f>ROUND(P26*100, 2)&amp;"% Avg. Fiscal Effort, "&amp;ROUND(Q26, 2)&amp;" Avg. Calendar Months"</f>
        <v>0% Avg. Fiscal Effort, 0 Avg. Calendar Months</v>
      </c>
      <c r="B26" s="55">
        <f>O26*J26</f>
        <v>0</v>
      </c>
      <c r="C26" s="55">
        <f>IF($J$5&gt;1,IF($U$2&lt;&gt;0,IF(O26*(1+$O$5)&lt;=$U$2,O26*K26*(1+$O$5),$U$2*K26),O26*K26*(1+$O$5)),0)</f>
        <v>0</v>
      </c>
      <c r="D26" s="55">
        <f>IF($J$5&gt;2,IF($U$2&lt;&gt;0,IF(O26*(1+$O$5)^2&lt;=$U$2,O26*L26*(1+$O$5)^2,$U$2*L26),O26*L26*(1+$O$5)^2),0)</f>
        <v>0</v>
      </c>
      <c r="E26" s="55">
        <f>IF($J$5&gt;3,IF($U$2&lt;&gt;0,IF(O26*(1+$O$5)^3&lt;=$U$2,O26*M26*(1+$O$5)^3,$U$2*M26),O26*M26*(1+$O$5)^3),0)</f>
        <v>0</v>
      </c>
      <c r="F26" s="55">
        <f>IF($J$5&gt;4,IF($U$2&lt;&gt;0,IF(O26*(1+$O$5)^4&lt;=$U$2,O26*N26*(1+$O$5)^4,$U$2*N26),O26*N26*(1+$O$5)^4),0)</f>
        <v>0</v>
      </c>
      <c r="G26" s="54">
        <f>SUM(B26:F26)</f>
        <v>0</v>
      </c>
      <c r="H26" s="14"/>
      <c r="I26" s="106" t="s">
        <v>26</v>
      </c>
      <c r="J26" s="17">
        <v>0</v>
      </c>
      <c r="K26" s="17">
        <f>IF($J$5&gt;1,J26,0)</f>
        <v>0</v>
      </c>
      <c r="L26" s="17">
        <f>IF($J$5&gt;2,K26,0)</f>
        <v>0</v>
      </c>
      <c r="M26" s="17">
        <f>IF($J$5&gt;3,L26,0)</f>
        <v>0</v>
      </c>
      <c r="N26" s="17">
        <f>IF($J$5&gt;4,M26,0)</f>
        <v>0</v>
      </c>
      <c r="O26" s="145">
        <f>IF(U29="F",IF($U$2&lt;&gt;0,IF(T29&gt;$U$2,$U$2,T29),T29),0)</f>
        <v>0</v>
      </c>
      <c r="P26" s="154">
        <f>SUM(J25:N25)/(ROUNDUP($J$5,0)*12)</f>
        <v>0</v>
      </c>
      <c r="Q26" s="155">
        <f>(SUM(J25:N25)/(CEILING($J$5*12,12)))*12</f>
        <v>0</v>
      </c>
      <c r="T26" s="90"/>
      <c r="U26" s="92"/>
    </row>
    <row r="27" spans="1:22" outlineLevel="2" x14ac:dyDescent="0.25">
      <c r="A27" s="481" t="str">
        <f>ROUND(P26*100,2)&amp;"% Annualized Effort, "&amp;ROUND(Q27,2)&amp;" Avg. Academic Months
"&amp;IF(SUM(J28:N28)&gt;0," and "&amp;Q28 &amp;" Avg. Summer Months", "")</f>
        <v xml:space="preserve">0% Annualized Effort, 0 Avg. Academic Months
</v>
      </c>
      <c r="B27" s="55">
        <f>J27*O27</f>
        <v>0</v>
      </c>
      <c r="C27" s="55">
        <f>IF($J$5&gt;1,IF($U$2&lt;&gt;0,IF(O27*(1+$O$5)&lt;=$U$2*0.75,O27*K27*(1+$O$5),$U$2*0.75*K27),O27*K27*(1+$O$5)),0)</f>
        <v>0</v>
      </c>
      <c r="D27" s="55">
        <f>IF($J$5&gt;2,IF($U$2&lt;&gt;0,IF(O27*(1+$O$5)^2&lt;=$U$2*0.75,O27*L27*(1+$O$5)^2,$U$2*0.75*L27),O27*L27*(1+$O$5)^2),0)</f>
        <v>0</v>
      </c>
      <c r="E27" s="55">
        <f>IF($J$5&gt;3,IF($U$2&lt;&gt;0,IF(O27*(1+$O$5)^3&lt;=$U$2*0.75,O27*M27*(1+$O$5)^3,$U$2*0.75*M27),O27*M27*(1+$O$5)^3),0)</f>
        <v>0</v>
      </c>
      <c r="F27" s="55">
        <f>IF($J$5&gt;4,IF($U$2&lt;&gt;0,IF(O27*(1+$O$5)^4&lt;=$U$2*0.75,O27*N27*(1+$O$5)^4,$U$2*0.75*N27),O27*N27*(1+$O$5)^4),0)</f>
        <v>0</v>
      </c>
      <c r="G27" s="54">
        <f>SUM(B27:F27)</f>
        <v>0</v>
      </c>
      <c r="H27" s="14"/>
      <c r="I27" s="106" t="s">
        <v>15</v>
      </c>
      <c r="J27" s="17">
        <v>0</v>
      </c>
      <c r="K27" s="17">
        <f>IF($J$5&gt;1,J27,0)</f>
        <v>0</v>
      </c>
      <c r="L27" s="17">
        <f>IF($J$5&gt;2,K27,0)</f>
        <v>0</v>
      </c>
      <c r="M27" s="17">
        <f>IF($J$5&gt;3,L27,0)</f>
        <v>0</v>
      </c>
      <c r="N27" s="17">
        <f>IF($J$5&gt;4,M27,0)</f>
        <v>0</v>
      </c>
      <c r="O27" s="145">
        <f>IF(U29="A",IF($U$2&lt;&gt;0,IF(T29&gt;($U$2/12*9),($U$2/12*9),T29),T29),0)</f>
        <v>0</v>
      </c>
      <c r="P27" s="166"/>
      <c r="Q27" s="156">
        <f>((SUM(J25:N25)-SUM(J28:N28))/(CEILING($J$5*9,9)))*9</f>
        <v>0</v>
      </c>
      <c r="R27" s="12"/>
      <c r="S27" s="12"/>
      <c r="T27" s="90"/>
      <c r="U27" s="92"/>
    </row>
    <row r="28" spans="1:22" outlineLevel="2" x14ac:dyDescent="0.25">
      <c r="A28" s="481"/>
      <c r="B28" s="55">
        <f>J28/3*O28</f>
        <v>0</v>
      </c>
      <c r="C28" s="55">
        <f>IF($J$5&gt;1,IF($U$2&lt;&gt;0,IF(O28*(1+$O$5)&lt;=$U$2*0.25,O28*K28/3*(1+$O$5),$U$2*0.25*K28/3),O28*K28/3*(1+$O$5)),0)</f>
        <v>0</v>
      </c>
      <c r="D28" s="55">
        <f>IF($J$5&gt;2,IF($U$2&lt;&gt;0,IF(O28*(1+$O$5)^2&lt;=$U$2*0.25,O28*L28/3*(1+$O$5)^2,$U$2*0.25*L28/3),O28*L28/3*(1+$O$5)^2),0)</f>
        <v>0</v>
      </c>
      <c r="E28" s="55">
        <f>IF($J$5&gt;3,IF($U$2&lt;&gt;0,IF(O28*(1+$O$5)^3&lt;=$U$2*0.25,O28*M28/3*(1+$O$5)^3,$U$2*0.25*M28/3),O28*M28/3*(1+$O$5)^3),0)</f>
        <v>0</v>
      </c>
      <c r="F28" s="55">
        <f>IF($J$5&gt;4,IF($U$2&lt;&gt;0,IF(O28*(1+$O$5)^4&lt;=$U$2*0.25,O28*N28/3*(1+$O$5)^4,$U$2*0.25*N28/3),O28*N28/3*(1+$O$5)^4),0)</f>
        <v>0</v>
      </c>
      <c r="G28" s="54">
        <f>SUM(B28:F28)</f>
        <v>0</v>
      </c>
      <c r="H28" s="14"/>
      <c r="I28" s="106" t="s">
        <v>17</v>
      </c>
      <c r="J28" s="16">
        <v>0</v>
      </c>
      <c r="K28" s="16">
        <f>IF($J$5&gt;1,J28,0)</f>
        <v>0</v>
      </c>
      <c r="L28" s="16">
        <f>IF($J$5&gt;2,K28,0)</f>
        <v>0</v>
      </c>
      <c r="M28" s="16">
        <f>IF($J$5&gt;3,L28,0)</f>
        <v>0</v>
      </c>
      <c r="N28" s="16">
        <f>IF($J$5&gt;4,M28,0)</f>
        <v>0</v>
      </c>
      <c r="O28" s="145">
        <f>IF(U29="A",IF($U$2&lt;&gt;0,IF(T29/9*3&gt;($U$2/12*3),($U$2/12*3),T29/9*3),T29/9*3),0)</f>
        <v>0</v>
      </c>
      <c r="P28" s="157"/>
      <c r="Q28" s="157">
        <f>((SUM(J25:N25)-SUM(J27:N27)*9)/(CEILING($J$5*3,3)))*3</f>
        <v>0</v>
      </c>
      <c r="R28" s="12"/>
      <c r="S28" s="12"/>
      <c r="U28" s="92"/>
    </row>
    <row r="29" spans="1:22" outlineLevel="2" x14ac:dyDescent="0.25">
      <c r="A29" s="19"/>
      <c r="B29" s="55"/>
      <c r="C29" s="55"/>
      <c r="D29" s="56"/>
      <c r="E29" s="56"/>
      <c r="F29" s="56"/>
      <c r="G29" s="57"/>
      <c r="H29" s="20"/>
      <c r="I29" s="106" t="s">
        <v>109</v>
      </c>
      <c r="J29" s="147">
        <f>SUM(B26:B28)*$V29</f>
        <v>0</v>
      </c>
      <c r="K29" s="147">
        <f>SUM(C26:C28)*$V29</f>
        <v>0</v>
      </c>
      <c r="L29" s="147">
        <f>SUM(D26:D28)*$V29</f>
        <v>0</v>
      </c>
      <c r="M29" s="147">
        <f>SUM(E26:E28)*$V29</f>
        <v>0</v>
      </c>
      <c r="N29" s="147">
        <f>SUM(F26:F28)*$V29</f>
        <v>0</v>
      </c>
      <c r="O29" s="146"/>
      <c r="P29" s="157"/>
      <c r="Q29" s="157"/>
      <c r="R29" s="12"/>
      <c r="S29" s="12"/>
      <c r="T29" s="143">
        <v>0</v>
      </c>
      <c r="U29" s="144"/>
      <c r="V29" s="148">
        <f>$J$79</f>
        <v>0</v>
      </c>
    </row>
    <row r="30" spans="1:22" outlineLevel="2" x14ac:dyDescent="0.25">
      <c r="A30" s="19"/>
      <c r="B30" s="55"/>
      <c r="C30" s="55"/>
      <c r="D30" s="56"/>
      <c r="E30" s="56"/>
      <c r="F30" s="56"/>
      <c r="G30" s="57"/>
      <c r="H30" s="20"/>
      <c r="I30" s="124"/>
      <c r="J30" s="91"/>
      <c r="K30" s="91"/>
      <c r="L30" s="91"/>
      <c r="M30" s="91"/>
      <c r="N30" s="91"/>
      <c r="O30" s="22"/>
      <c r="P30" s="157"/>
      <c r="Q30" s="157"/>
      <c r="R30" s="12"/>
      <c r="S30" s="12"/>
      <c r="T30" s="90"/>
      <c r="U30" s="92"/>
    </row>
    <row r="31" spans="1:22" outlineLevel="2" x14ac:dyDescent="0.25">
      <c r="A31" s="23" t="s">
        <v>84</v>
      </c>
      <c r="B31" s="55"/>
      <c r="C31" s="56"/>
      <c r="D31" s="56"/>
      <c r="E31" s="56"/>
      <c r="F31" s="56"/>
      <c r="G31" s="54"/>
      <c r="I31" s="106" t="s">
        <v>128</v>
      </c>
      <c r="J31" s="5">
        <f>IF(U35="F",J32*12,SUM(J33*9,J34))</f>
        <v>0</v>
      </c>
      <c r="K31" s="5">
        <f>IF(U35="F",K32*12,SUM(K33*9,K34))</f>
        <v>0</v>
      </c>
      <c r="L31" s="5">
        <f>IF(U35="F",L32*12,SUM(L33*9,L34))</f>
        <v>0</v>
      </c>
      <c r="M31" s="5">
        <f>IF(U35="F",M32*12,SUM(M33*9,M34))</f>
        <v>0</v>
      </c>
      <c r="N31" s="5">
        <f>IF(U35="F",N32*12,SUM(N33*9,N34))</f>
        <v>0</v>
      </c>
      <c r="O31" s="49" t="s">
        <v>51</v>
      </c>
      <c r="P31" s="153" t="s">
        <v>126</v>
      </c>
      <c r="Q31" s="153" t="s">
        <v>127</v>
      </c>
      <c r="R31" s="11"/>
      <c r="S31" s="12"/>
      <c r="T31" s="90"/>
      <c r="U31" s="92"/>
    </row>
    <row r="32" spans="1:22" outlineLevel="2" x14ac:dyDescent="0.25">
      <c r="A32" s="13" t="str">
        <f>ROUND(P32*100, 2)&amp;"% Avg. Fiscal Effort, "&amp;ROUND(Q32, 2)&amp;" Avg. Calendar Months"</f>
        <v>0% Avg. Fiscal Effort, 0 Avg. Calendar Months</v>
      </c>
      <c r="B32" s="55">
        <f>O32*J32</f>
        <v>0</v>
      </c>
      <c r="C32" s="55">
        <f>IF($J$5&gt;1,IF($U$2&lt;&gt;0,IF(O32*(1+$O$5)&lt;=$U$2,O32*K32*(1+$O$5),$U$2*K32),O32*K32*(1+$O$5)),0)</f>
        <v>0</v>
      </c>
      <c r="D32" s="55">
        <f>IF($J$5&gt;2,IF($U$2&lt;&gt;0,IF(O32*(1+$O$5)^2&lt;=$U$2,O32*L32*(1+$O$5)^2,$U$2*L32),O32*L32*(1+$O$5)^2),0)</f>
        <v>0</v>
      </c>
      <c r="E32" s="55">
        <f>IF($J$5&gt;3,IF($U$2&lt;&gt;0,IF(O32*(1+$O$5)^3&lt;=$U$2,O32*M32*(1+$O$5)^3,$U$2*M32),O32*M32*(1+$O$5)^3),0)</f>
        <v>0</v>
      </c>
      <c r="F32" s="55">
        <f>IF($J$5&gt;4,IF($U$2&lt;&gt;0,IF(O32*(1+$O$5)^4&lt;=$U$2,O32*N32*(1+$O$5)^4,$U$2*N32),O32*N32*(1+$O$5)^4),0)</f>
        <v>0</v>
      </c>
      <c r="G32" s="54">
        <f>SUM(B32:F32)</f>
        <v>0</v>
      </c>
      <c r="H32" s="14"/>
      <c r="I32" s="106" t="s">
        <v>26</v>
      </c>
      <c r="J32" s="17">
        <v>0</v>
      </c>
      <c r="K32" s="17">
        <f>IF($J$5&gt;1,J32,0)</f>
        <v>0</v>
      </c>
      <c r="L32" s="17">
        <f>IF($J$5&gt;2,K32,0)</f>
        <v>0</v>
      </c>
      <c r="M32" s="17">
        <f>IF($J$5&gt;3,L32,0)</f>
        <v>0</v>
      </c>
      <c r="N32" s="17">
        <f>IF($J$5&gt;4,M32,0)</f>
        <v>0</v>
      </c>
      <c r="O32" s="145">
        <f>IF(U35="F",IF($U$2&lt;&gt;0,IF(T35&gt;$U$2,$U$2,T35),T35),0)</f>
        <v>0</v>
      </c>
      <c r="P32" s="154">
        <f>SUM(J31:N31)/(ROUNDUP($J$5,0)*12)</f>
        <v>0</v>
      </c>
      <c r="Q32" s="155">
        <f>(SUM(J31:N31)/(CEILING($J$5*12,12)))*12</f>
        <v>0</v>
      </c>
      <c r="T32" s="90"/>
      <c r="U32" s="92"/>
    </row>
    <row r="33" spans="1:22" outlineLevel="2" x14ac:dyDescent="0.25">
      <c r="A33" s="481" t="str">
        <f>ROUND(P32*100,2)&amp;"% Annualized Effort, "&amp;ROUND(Q33,2)&amp;" Avg. Academic Months
"&amp;IF(SUM(J34:N34)&gt;0," and "&amp;Q34 &amp;" Avg. Summer Months", "")</f>
        <v xml:space="preserve">0% Annualized Effort, 0 Avg. Academic Months
</v>
      </c>
      <c r="B33" s="55">
        <f>J33*O33</f>
        <v>0</v>
      </c>
      <c r="C33" s="55">
        <f>IF($J$5&gt;1,IF($U$2&lt;&gt;0,IF(O33*(1+$O$5)&lt;=$U$2*0.75,O33*K33*(1+$O$5),$U$2*0.75*K33),O33*K33*(1+$O$5)),0)</f>
        <v>0</v>
      </c>
      <c r="D33" s="55">
        <f>IF($J$5&gt;2,IF($U$2&lt;&gt;0,IF(O33*(1+$O$5)^2&lt;=$U$2*0.75,O33*L33*(1+$O$5)^2,$U$2*0.75*L33),O33*L33*(1+$O$5)^2),0)</f>
        <v>0</v>
      </c>
      <c r="E33" s="55">
        <f>IF($J$5&gt;3,IF($U$2&lt;&gt;0,IF(O33*(1+$O$5)^3&lt;=$U$2*0.75,O33*M33*(1+$O$5)^3,$U$2*0.75*M33),O33*M33*(1+$O$5)^3),0)</f>
        <v>0</v>
      </c>
      <c r="F33" s="55">
        <f>IF($J$5&gt;4,IF($U$2&lt;&gt;0,IF(O33*(1+$O$5)^4&lt;=$U$2*0.75,O33*N33*(1+$O$5)^4,$U$2*0.75*N33),O33*N33*(1+$O$5)^4),0)</f>
        <v>0</v>
      </c>
      <c r="G33" s="54">
        <f>SUM(B33:F33)</f>
        <v>0</v>
      </c>
      <c r="H33" s="14"/>
      <c r="I33" s="106" t="s">
        <v>15</v>
      </c>
      <c r="J33" s="17">
        <v>0</v>
      </c>
      <c r="K33" s="17">
        <f>IF($J$5&gt;1,J33,0)</f>
        <v>0</v>
      </c>
      <c r="L33" s="17">
        <f>IF($J$5&gt;2,K33,0)</f>
        <v>0</v>
      </c>
      <c r="M33" s="17">
        <f>IF($J$5&gt;3,L33,0)</f>
        <v>0</v>
      </c>
      <c r="N33" s="17">
        <f>IF($J$5&gt;4,M33,0)</f>
        <v>0</v>
      </c>
      <c r="O33" s="145">
        <f>IF(U35="A",IF($U$2&lt;&gt;0,IF(T35&gt;($U$2/12*9),($U$2/12*9),T35),T35),0)</f>
        <v>0</v>
      </c>
      <c r="P33" s="166"/>
      <c r="Q33" s="156">
        <f>((SUM(J31:N31)-SUM(J34:N34))/(CEILING($J$5*9,9)))*9</f>
        <v>0</v>
      </c>
      <c r="R33" s="12"/>
      <c r="S33" s="12"/>
      <c r="T33" s="90"/>
      <c r="U33" s="92"/>
    </row>
    <row r="34" spans="1:22" outlineLevel="2" x14ac:dyDescent="0.25">
      <c r="A34" s="481"/>
      <c r="B34" s="55">
        <f>J34/3*O34</f>
        <v>0</v>
      </c>
      <c r="C34" s="55">
        <f>IF($J$5&gt;1,IF($U$2&lt;&gt;0,IF(O34*(1+$O$5)&lt;=$U$2*0.25,O34*K34/3*(1+$O$5),$U$2*0.25*K34/3),O34*K34/3*(1+$O$5)),0)</f>
        <v>0</v>
      </c>
      <c r="D34" s="55">
        <f>IF($J$5&gt;2,IF($U$2&lt;&gt;0,IF(O34*(1+$O$5)^2&lt;=$U$2*0.25,O34*L34/3*(1+$O$5)^2,$U$2*0.25*L34/3),O34*L34/3*(1+$O$5)^2),0)</f>
        <v>0</v>
      </c>
      <c r="E34" s="55">
        <f>IF($J$5&gt;3,IF($U$2&lt;&gt;0,IF(O34*(1+$O$5)^3&lt;=$U$2*0.25,O34*M34/3*(1+$O$5)^3,$U$2*0.25*M34/3),O34*M34/3*(1+$O$5)^3),0)</f>
        <v>0</v>
      </c>
      <c r="F34" s="55">
        <f>IF($J$5&gt;4,IF($U$2&lt;&gt;0,IF(O34*(1+$O$5)^4&lt;=$U$2*0.25,O34*N34/3*(1+$O$5)^4,$U$2*0.25*N34/3),O34*N34/3*(1+$O$5)^4),0)</f>
        <v>0</v>
      </c>
      <c r="G34" s="54">
        <f>SUM(B34:F34)</f>
        <v>0</v>
      </c>
      <c r="H34" s="14"/>
      <c r="I34" s="106" t="s">
        <v>17</v>
      </c>
      <c r="J34" s="16">
        <v>0</v>
      </c>
      <c r="K34" s="16">
        <f>IF($J$5&gt;1,J34,0)</f>
        <v>0</v>
      </c>
      <c r="L34" s="16">
        <f>IF($J$5&gt;2,K34,0)</f>
        <v>0</v>
      </c>
      <c r="M34" s="16">
        <f>IF($J$5&gt;3,L34,0)</f>
        <v>0</v>
      </c>
      <c r="N34" s="16">
        <f>IF($J$5&gt;4,M34,0)</f>
        <v>0</v>
      </c>
      <c r="O34" s="145">
        <f>IF(U35="A",IF($U$2&lt;&gt;0,IF(T35/9*3&gt;($U$2/12*3),($U$2/12*3),T35/9*3),T35/9*3),0)</f>
        <v>0</v>
      </c>
      <c r="P34" s="157"/>
      <c r="Q34" s="157">
        <f>((SUM(J31:N31)-SUM(J33:N33)*9)/(CEILING($J$5*3,3)))*3</f>
        <v>0</v>
      </c>
      <c r="R34" s="12"/>
      <c r="S34" s="12"/>
      <c r="U34" s="92"/>
    </row>
    <row r="35" spans="1:22" outlineLevel="2" x14ac:dyDescent="0.25">
      <c r="A35" s="19"/>
      <c r="B35" s="55"/>
      <c r="C35" s="55"/>
      <c r="D35" s="56"/>
      <c r="E35" s="56"/>
      <c r="F35" s="56"/>
      <c r="G35" s="57"/>
      <c r="H35" s="20"/>
      <c r="I35" s="106" t="s">
        <v>109</v>
      </c>
      <c r="J35" s="147">
        <f>SUM(B32:B34)*$V35</f>
        <v>0</v>
      </c>
      <c r="K35" s="147">
        <f>SUM(C32:C34)*$V35</f>
        <v>0</v>
      </c>
      <c r="L35" s="147">
        <f>SUM(D32:D34)*$V35</f>
        <v>0</v>
      </c>
      <c r="M35" s="147">
        <f>SUM(E32:E34)*$V35</f>
        <v>0</v>
      </c>
      <c r="N35" s="147">
        <f>SUM(F32:F34)*$V35</f>
        <v>0</v>
      </c>
      <c r="O35" s="146"/>
      <c r="P35" s="157"/>
      <c r="Q35" s="157"/>
      <c r="R35" s="12"/>
      <c r="S35" s="12"/>
      <c r="T35" s="143">
        <v>0</v>
      </c>
      <c r="U35" s="144"/>
      <c r="V35" s="148">
        <f>$J$79</f>
        <v>0</v>
      </c>
    </row>
    <row r="36" spans="1:22" outlineLevel="2" x14ac:dyDescent="0.25">
      <c r="A36" s="19"/>
      <c r="B36" s="55"/>
      <c r="C36" s="55"/>
      <c r="D36" s="56"/>
      <c r="E36" s="56"/>
      <c r="F36" s="56"/>
      <c r="G36" s="57"/>
      <c r="H36" s="20"/>
      <c r="I36" s="124"/>
      <c r="J36" s="91"/>
      <c r="K36" s="91"/>
      <c r="L36" s="91"/>
      <c r="M36" s="91"/>
      <c r="N36" s="91"/>
      <c r="O36" s="22"/>
      <c r="P36" s="157"/>
      <c r="Q36" s="157"/>
      <c r="R36" s="12"/>
      <c r="S36" s="12"/>
      <c r="T36" s="90"/>
      <c r="U36" s="92"/>
    </row>
    <row r="37" spans="1:22" outlineLevel="2" x14ac:dyDescent="0.25">
      <c r="A37" s="23" t="s">
        <v>84</v>
      </c>
      <c r="B37" s="55"/>
      <c r="C37" s="56"/>
      <c r="D37" s="56"/>
      <c r="E37" s="56"/>
      <c r="F37" s="56"/>
      <c r="G37" s="54"/>
      <c r="I37" s="106" t="s">
        <v>128</v>
      </c>
      <c r="J37" s="5">
        <f>IF(U41="F",J38*12,SUM(J39*9,J40))</f>
        <v>0</v>
      </c>
      <c r="K37" s="5">
        <f>IF(U41="F",K38*12,SUM(K39*9,K40))</f>
        <v>0</v>
      </c>
      <c r="L37" s="5">
        <f>IF(U41="F",L38*12,SUM(L39*9,L40))</f>
        <v>0</v>
      </c>
      <c r="M37" s="5">
        <f>IF(U41="F",M38*12,SUM(M39*9,M40))</f>
        <v>0</v>
      </c>
      <c r="N37" s="5">
        <f>IF(U41="F",N38*12,SUM(N39*9,N40))</f>
        <v>0</v>
      </c>
      <c r="O37" s="49" t="s">
        <v>51</v>
      </c>
      <c r="P37" s="153" t="s">
        <v>126</v>
      </c>
      <c r="Q37" s="153" t="s">
        <v>127</v>
      </c>
      <c r="R37" s="11"/>
      <c r="S37" s="12"/>
      <c r="T37" s="90"/>
      <c r="U37" s="92"/>
    </row>
    <row r="38" spans="1:22" outlineLevel="2" x14ac:dyDescent="0.25">
      <c r="A38" s="13" t="str">
        <f>ROUND(P38*100, 2)&amp;"% Avg. Fiscal Effort, "&amp;ROUND(Q38, 2)&amp;" Avg. Calendar Months"</f>
        <v>0% Avg. Fiscal Effort, 0 Avg. Calendar Months</v>
      </c>
      <c r="B38" s="55">
        <f>O38*J38</f>
        <v>0</v>
      </c>
      <c r="C38" s="55">
        <f>IF($J$5&gt;1,IF($U$2&lt;&gt;0,IF(O38*(1+$O$5)&lt;=$U$2,O38*K38*(1+$O$5),$U$2*K38),O38*K38*(1+$O$5)),0)</f>
        <v>0</v>
      </c>
      <c r="D38" s="55">
        <f>IF($J$5&gt;2,IF($U$2&lt;&gt;0,IF(O38*(1+$O$5)^2&lt;=$U$2,O38*L38*(1+$O$5)^2,$U$2*L38),O38*L38*(1+$O$5)^2),0)</f>
        <v>0</v>
      </c>
      <c r="E38" s="55">
        <f>IF($J$5&gt;3,IF($U$2&lt;&gt;0,IF(O38*(1+$O$5)^3&lt;=$U$2,O38*M38*(1+$O$5)^3,$U$2*M38),O38*M38*(1+$O$5)^3),0)</f>
        <v>0</v>
      </c>
      <c r="F38" s="55">
        <f>IF($J$5&gt;4,IF($U$2&lt;&gt;0,IF(O38*(1+$O$5)^4&lt;=$U$2,O38*N38*(1+$O$5)^4,$U$2*N38),O38*N38*(1+$O$5)^4),0)</f>
        <v>0</v>
      </c>
      <c r="G38" s="54">
        <f>SUM(B38:F38)</f>
        <v>0</v>
      </c>
      <c r="H38" s="14"/>
      <c r="I38" s="106" t="s">
        <v>26</v>
      </c>
      <c r="J38" s="17">
        <v>0</v>
      </c>
      <c r="K38" s="17">
        <f>IF($J$5&gt;1,J38,0)</f>
        <v>0</v>
      </c>
      <c r="L38" s="17">
        <f>IF($J$5&gt;2,K38,0)</f>
        <v>0</v>
      </c>
      <c r="M38" s="17">
        <f>IF($J$5&gt;3,L38,0)</f>
        <v>0</v>
      </c>
      <c r="N38" s="17">
        <f>IF($J$5&gt;4,M38,0)</f>
        <v>0</v>
      </c>
      <c r="O38" s="145">
        <f>IF(U41="F",IF($U$2&lt;&gt;0,IF(T41&gt;$U$2,$U$2,T41),T41),0)</f>
        <v>0</v>
      </c>
      <c r="P38" s="154">
        <f>SUM(J37:N37)/(ROUNDUP($J$5,0)*12)</f>
        <v>0</v>
      </c>
      <c r="Q38" s="155">
        <f>(SUM(J37:N37)/(CEILING($J$5*12,12)))*12</f>
        <v>0</v>
      </c>
      <c r="T38" s="90"/>
      <c r="U38" s="92"/>
    </row>
    <row r="39" spans="1:22" outlineLevel="2" x14ac:dyDescent="0.25">
      <c r="A39" s="481" t="str">
        <f>ROUND(P38*100,2)&amp;"% Annualized Effort, "&amp;ROUND(Q39,2)&amp;" Avg. Academic Months
"&amp;IF(SUM(J40:N40)&gt;0," and "&amp;Q40 &amp;" Avg. Summer Months", "")</f>
        <v xml:space="preserve">0% Annualized Effort, 0 Avg. Academic Months
</v>
      </c>
      <c r="B39" s="55">
        <f>J39*O39</f>
        <v>0</v>
      </c>
      <c r="C39" s="55">
        <f>IF($J$5&gt;1,IF($U$2&lt;&gt;0,IF(O39*(1+$O$5)&lt;=$U$2*0.75,O39*K39*(1+$O$5),$U$2*0.75*K39),O39*K39*(1+$O$5)),0)</f>
        <v>0</v>
      </c>
      <c r="D39" s="55">
        <f>IF($J$5&gt;2,IF($U$2&lt;&gt;0,IF(O39*(1+$O$5)^2&lt;=$U$2*0.75,O39*L39*(1+$O$5)^2,$U$2*0.75*L39),O39*L39*(1+$O$5)^2),0)</f>
        <v>0</v>
      </c>
      <c r="E39" s="55">
        <f>IF($J$5&gt;3,IF($U$2&lt;&gt;0,IF(O39*(1+$O$5)^3&lt;=$U$2*0.75,O39*M39*(1+$O$5)^3,$U$2*0.75*M39),O39*M39*(1+$O$5)^3),0)</f>
        <v>0</v>
      </c>
      <c r="F39" s="55">
        <f>IF($J$5&gt;4,IF($U$2&lt;&gt;0,IF(O39*(1+$O$5)^4&lt;=$U$2*0.75,O39*N39*(1+$O$5)^4,$U$2*0.75*N39),O39*N39*(1+$O$5)^4),0)</f>
        <v>0</v>
      </c>
      <c r="G39" s="54">
        <f>SUM(B39:F39)</f>
        <v>0</v>
      </c>
      <c r="H39" s="14"/>
      <c r="I39" s="106" t="s">
        <v>15</v>
      </c>
      <c r="J39" s="17">
        <v>0</v>
      </c>
      <c r="K39" s="17">
        <f>IF($J$5&gt;1,J39,0)</f>
        <v>0</v>
      </c>
      <c r="L39" s="17">
        <f>IF($J$5&gt;2,K39,0)</f>
        <v>0</v>
      </c>
      <c r="M39" s="17">
        <f>IF($J$5&gt;3,L39,0)</f>
        <v>0</v>
      </c>
      <c r="N39" s="17">
        <f>IF($J$5&gt;4,M39,0)</f>
        <v>0</v>
      </c>
      <c r="O39" s="145">
        <f>IF(U41="A",IF($U$2&lt;&gt;0,IF(T41&gt;($U$2/12*9),($U$2/12*9),T41),T41),0)</f>
        <v>0</v>
      </c>
      <c r="P39" s="166"/>
      <c r="Q39" s="156">
        <f>((SUM(J37:N37)-SUM(J40:N40))/(CEILING($J$5*9,9)))*9</f>
        <v>0</v>
      </c>
      <c r="R39" s="12"/>
      <c r="S39" s="12"/>
      <c r="T39" s="90"/>
      <c r="U39" s="92"/>
    </row>
    <row r="40" spans="1:22" outlineLevel="2" x14ac:dyDescent="0.25">
      <c r="A40" s="481"/>
      <c r="B40" s="55">
        <f>J40/3*O40</f>
        <v>0</v>
      </c>
      <c r="C40" s="55">
        <f>IF($J$5&gt;1,IF($U$2&lt;&gt;0,IF(O40*(1+$O$5)&lt;=$U$2*0.25,O40*K40/3*(1+$O$5),$U$2*0.25*K40/3),O40*K40/3*(1+$O$5)),0)</f>
        <v>0</v>
      </c>
      <c r="D40" s="55">
        <f>IF($J$5&gt;2,IF($U$2&lt;&gt;0,IF(O40*(1+$O$5)^2&lt;=$U$2*0.25,O40*L40/3*(1+$O$5)^2,$U$2*0.25*L40/3),O40*L40/3*(1+$O$5)^2),0)</f>
        <v>0</v>
      </c>
      <c r="E40" s="55">
        <f>IF($J$5&gt;3,IF($U$2&lt;&gt;0,IF(O40*(1+$O$5)^3&lt;=$U$2*0.25,O40*M40/3*(1+$O$5)^3,$U$2*0.25*M40/3),O40*M40/3*(1+$O$5)^3),0)</f>
        <v>0</v>
      </c>
      <c r="F40" s="55">
        <f>IF($J$5&gt;4,IF($U$2&lt;&gt;0,IF(O40*(1+$O$5)^4&lt;=$U$2*0.25,O40*N40/3*(1+$O$5)^4,$U$2*0.25*N40/3),O40*N40/3*(1+$O$5)^4),0)</f>
        <v>0</v>
      </c>
      <c r="G40" s="54">
        <f>SUM(B40:F40)</f>
        <v>0</v>
      </c>
      <c r="H40" s="14"/>
      <c r="I40" s="106" t="s">
        <v>17</v>
      </c>
      <c r="J40" s="16">
        <v>0</v>
      </c>
      <c r="K40" s="16">
        <f>IF($J$5&gt;1,J40,0)</f>
        <v>0</v>
      </c>
      <c r="L40" s="16">
        <f>IF($J$5&gt;2,K40,0)</f>
        <v>0</v>
      </c>
      <c r="M40" s="16">
        <f>IF($J$5&gt;3,L40,0)</f>
        <v>0</v>
      </c>
      <c r="N40" s="16">
        <f>IF($J$5&gt;4,M40,0)</f>
        <v>0</v>
      </c>
      <c r="O40" s="145">
        <f>IF(U41="A",IF($U$2&lt;&gt;0,IF(T41/9*3&gt;($U$2/12*3),($U$2/12*3),T41/9*3),T41/9*3),0)</f>
        <v>0</v>
      </c>
      <c r="P40" s="157"/>
      <c r="Q40" s="157">
        <f>((SUM(J37:N37)-SUM(J39:N39)*9)/(CEILING($J$5*3,3)))*3</f>
        <v>0</v>
      </c>
      <c r="R40" s="12"/>
      <c r="S40" s="12"/>
      <c r="U40" s="92"/>
    </row>
    <row r="41" spans="1:22" outlineLevel="2" x14ac:dyDescent="0.25">
      <c r="A41" s="19"/>
      <c r="B41" s="55"/>
      <c r="C41" s="55"/>
      <c r="D41" s="56"/>
      <c r="E41" s="56"/>
      <c r="F41" s="56"/>
      <c r="G41" s="57"/>
      <c r="H41" s="20"/>
      <c r="I41" s="106" t="s">
        <v>109</v>
      </c>
      <c r="J41" s="147">
        <f>SUM(B38:B40)*$V41</f>
        <v>0</v>
      </c>
      <c r="K41" s="147">
        <f>SUM(C38:C40)*$V41</f>
        <v>0</v>
      </c>
      <c r="L41" s="147">
        <f>SUM(D38:D40)*$V41</f>
        <v>0</v>
      </c>
      <c r="M41" s="147">
        <f>SUM(E38:E40)*$V41</f>
        <v>0</v>
      </c>
      <c r="N41" s="147">
        <f>SUM(F38:F40)*$V41</f>
        <v>0</v>
      </c>
      <c r="O41" s="146"/>
      <c r="P41" s="157"/>
      <c r="Q41" s="157"/>
      <c r="R41" s="12"/>
      <c r="S41" s="12"/>
      <c r="T41" s="143">
        <v>0</v>
      </c>
      <c r="U41" s="144"/>
      <c r="V41" s="148">
        <f>$J$79</f>
        <v>0</v>
      </c>
    </row>
    <row r="42" spans="1:22" outlineLevel="2" x14ac:dyDescent="0.25">
      <c r="A42" s="19"/>
      <c r="B42" s="55"/>
      <c r="C42" s="55"/>
      <c r="D42" s="56"/>
      <c r="E42" s="56"/>
      <c r="F42" s="56"/>
      <c r="G42" s="57"/>
      <c r="H42" s="20"/>
      <c r="I42" s="124"/>
      <c r="J42" s="91"/>
      <c r="K42" s="91"/>
      <c r="L42" s="91"/>
      <c r="M42" s="91"/>
      <c r="N42" s="91"/>
      <c r="O42" s="22"/>
      <c r="P42" s="157"/>
      <c r="Q42" s="157"/>
      <c r="R42" s="12"/>
      <c r="S42" s="12"/>
      <c r="T42" s="90"/>
      <c r="U42" s="92"/>
    </row>
    <row r="43" spans="1:22" outlineLevel="1" x14ac:dyDescent="0.25">
      <c r="A43" s="13"/>
      <c r="B43" s="55"/>
      <c r="C43" s="55"/>
      <c r="D43" s="55"/>
      <c r="E43" s="55"/>
      <c r="F43" s="55"/>
      <c r="G43" s="54"/>
      <c r="H43" s="14"/>
      <c r="I43" s="42"/>
      <c r="J43" s="5" t="s">
        <v>6</v>
      </c>
      <c r="K43" s="5" t="s">
        <v>5</v>
      </c>
      <c r="L43" s="5" t="s">
        <v>7</v>
      </c>
      <c r="M43" s="5" t="s">
        <v>8</v>
      </c>
      <c r="N43" s="5" t="s">
        <v>9</v>
      </c>
      <c r="O43" s="102" t="s">
        <v>51</v>
      </c>
      <c r="P43" s="154"/>
      <c r="Q43" s="154"/>
      <c r="U43" s="90"/>
    </row>
    <row r="44" spans="1:22" outlineLevel="2" x14ac:dyDescent="0.25">
      <c r="A44" s="23" t="str">
        <f>"TBN, Post-doc ("&amp;J44&amp;")"</f>
        <v>TBN, Post-doc ()</v>
      </c>
      <c r="B44" s="55"/>
      <c r="C44" s="55"/>
      <c r="D44" s="56"/>
      <c r="E44" s="56"/>
      <c r="F44" s="56"/>
      <c r="G44" s="54"/>
      <c r="H44" s="14"/>
      <c r="I44" s="106" t="s">
        <v>16</v>
      </c>
      <c r="J44" s="24"/>
      <c r="K44" s="125"/>
      <c r="L44" s="125"/>
      <c r="M44" s="125"/>
      <c r="N44" s="125"/>
      <c r="O44" s="15"/>
      <c r="P44" s="154"/>
      <c r="Q44" s="154"/>
      <c r="U44" s="92"/>
    </row>
    <row r="45" spans="1:22" outlineLevel="2" x14ac:dyDescent="0.25">
      <c r="A45" s="13" t="str">
        <f>ROUND(J45*100,2)&amp;"% FY Effort, "&amp;ROUND(J45*12,2)&amp;" Calendar Months"</f>
        <v>0% FY Effort, 0 Calendar Months</v>
      </c>
      <c r="B45" s="55">
        <f>J44*O44*J45</f>
        <v>0</v>
      </c>
      <c r="C45" s="55">
        <f>IF($J$5&gt;1, O44*K45*(1+$O$5), 0)</f>
        <v>0</v>
      </c>
      <c r="D45" s="55">
        <f>IF($J$5&gt;2, O44*L45*(1+$O$5)^2, 0)</f>
        <v>0</v>
      </c>
      <c r="E45" s="55">
        <f>IF($J$5&gt;3, O44*M45*(1+$O$5)^3, 0)</f>
        <v>0</v>
      </c>
      <c r="F45" s="55">
        <f>IF($J$5&gt;4, O44*N45*(1+$O$5)^4, 0)</f>
        <v>0</v>
      </c>
      <c r="G45" s="54">
        <f>SUM(B45:F45)</f>
        <v>0</v>
      </c>
      <c r="H45" s="14"/>
      <c r="I45" s="107" t="s">
        <v>26</v>
      </c>
      <c r="J45" s="26">
        <v>0</v>
      </c>
      <c r="K45" s="26">
        <f>IF($J$5&gt;1,J45,0)</f>
        <v>0</v>
      </c>
      <c r="L45" s="26">
        <f>IF($J$5&gt;2,K45,0)</f>
        <v>0</v>
      </c>
      <c r="M45" s="26">
        <f>IF($J$5&gt;3,L45,0)</f>
        <v>0</v>
      </c>
      <c r="N45" s="26">
        <f>IF($J$5&gt;4,M45,0)</f>
        <v>0</v>
      </c>
      <c r="O45" s="22"/>
      <c r="P45" s="154"/>
      <c r="Q45" s="154"/>
      <c r="U45" s="92"/>
    </row>
    <row r="46" spans="1:22" outlineLevel="2" x14ac:dyDescent="0.25">
      <c r="A46" s="13"/>
      <c r="B46" s="55"/>
      <c r="C46" s="55"/>
      <c r="D46" s="56"/>
      <c r="E46" s="56"/>
      <c r="F46" s="56"/>
      <c r="G46" s="54"/>
      <c r="H46" s="14"/>
      <c r="I46" s="4"/>
      <c r="O46" s="49" t="s">
        <v>51</v>
      </c>
      <c r="P46" s="154"/>
      <c r="Q46" s="154"/>
      <c r="U46" s="92"/>
    </row>
    <row r="47" spans="1:22" outlineLevel="2" x14ac:dyDescent="0.25">
      <c r="A47" s="23" t="str">
        <f>"TBN, Post-doc ("&amp;J47&amp;")"</f>
        <v>TBN, Post-doc ()</v>
      </c>
      <c r="B47" s="55"/>
      <c r="C47" s="55"/>
      <c r="D47" s="56"/>
      <c r="E47" s="56"/>
      <c r="F47" s="56"/>
      <c r="G47" s="54"/>
      <c r="H47" s="14"/>
      <c r="I47" s="106" t="s">
        <v>16</v>
      </c>
      <c r="J47" s="24"/>
      <c r="K47" s="125"/>
      <c r="L47" s="125"/>
      <c r="M47" s="125"/>
      <c r="N47" s="125"/>
      <c r="O47" s="15"/>
      <c r="P47" s="154"/>
      <c r="Q47" s="154"/>
      <c r="U47" s="92"/>
    </row>
    <row r="48" spans="1:22" outlineLevel="2" x14ac:dyDescent="0.25">
      <c r="A48" s="13" t="str">
        <f>ROUND(J48*100,2)&amp;"% FY Effort, "&amp;ROUND(J48*12,2)&amp;" Calendar Months"</f>
        <v>0% FY Effort, 0 Calendar Months</v>
      </c>
      <c r="B48" s="55">
        <f>J47*O47*J48</f>
        <v>0</v>
      </c>
      <c r="C48" s="55">
        <f>IF($J$5&gt;1, O47*K48*(1+$O$5), 0)</f>
        <v>0</v>
      </c>
      <c r="D48" s="55">
        <f>IF($J$5&gt;2, O47*L48*(1+$O$5)^2, 0)</f>
        <v>0</v>
      </c>
      <c r="E48" s="55">
        <f>IF($J$5&gt;3, O47*M48*(1+$O$5)^3, 0)</f>
        <v>0</v>
      </c>
      <c r="F48" s="55">
        <f>IF($J$5&gt;4, O47*N48*(1+$O$5)^4, 0)</f>
        <v>0</v>
      </c>
      <c r="G48" s="54">
        <f>SUM(B48:F48)</f>
        <v>0</v>
      </c>
      <c r="H48" s="14"/>
      <c r="I48" s="107" t="s">
        <v>26</v>
      </c>
      <c r="J48" s="26">
        <v>0</v>
      </c>
      <c r="K48" s="26">
        <f>IF($J$5&gt;1,J48,0)</f>
        <v>0</v>
      </c>
      <c r="L48" s="26">
        <f>IF($J$5&gt;2,K48,0)</f>
        <v>0</v>
      </c>
      <c r="M48" s="26">
        <f>IF($J$5&gt;3,L48,0)</f>
        <v>0</v>
      </c>
      <c r="N48" s="26">
        <f>IF($J$5&gt;4,M48,0)</f>
        <v>0</v>
      </c>
      <c r="O48" s="22"/>
      <c r="P48" s="154"/>
      <c r="Q48" s="154"/>
      <c r="U48" s="92"/>
    </row>
    <row r="49" spans="1:22" outlineLevel="2" x14ac:dyDescent="0.25">
      <c r="A49" s="13"/>
      <c r="B49" s="55"/>
      <c r="C49" s="55"/>
      <c r="D49" s="55"/>
      <c r="E49" s="55"/>
      <c r="F49" s="55"/>
      <c r="G49" s="54"/>
      <c r="H49" s="14"/>
      <c r="I49" s="4"/>
      <c r="O49" s="49" t="s">
        <v>51</v>
      </c>
      <c r="P49" s="154"/>
      <c r="Q49" s="154"/>
      <c r="U49" s="92"/>
    </row>
    <row r="50" spans="1:22" outlineLevel="2" x14ac:dyDescent="0.25">
      <c r="A50" s="23" t="str">
        <f>"TBN, Post-doc ("&amp;J50&amp;")"</f>
        <v>TBN, Post-doc ()</v>
      </c>
      <c r="B50" s="55"/>
      <c r="C50" s="55"/>
      <c r="D50" s="55"/>
      <c r="E50" s="55"/>
      <c r="F50" s="55"/>
      <c r="G50" s="54"/>
      <c r="H50" s="14"/>
      <c r="I50" s="106" t="s">
        <v>16</v>
      </c>
      <c r="J50" s="24"/>
      <c r="K50" s="125"/>
      <c r="L50" s="125"/>
      <c r="M50" s="125"/>
      <c r="N50" s="125"/>
      <c r="O50" s="15"/>
      <c r="P50" s="154"/>
      <c r="Q50" s="154"/>
      <c r="U50" s="92"/>
    </row>
    <row r="51" spans="1:22" outlineLevel="2" x14ac:dyDescent="0.25">
      <c r="A51" s="13" t="str">
        <f>ROUND(J51*100,2)&amp;"% FY Effort, "&amp;ROUND(J51*12,2)&amp;" Calendar Months"</f>
        <v>0% FY Effort, 0 Calendar Months</v>
      </c>
      <c r="B51" s="55">
        <f>J50*O50*J51</f>
        <v>0</v>
      </c>
      <c r="C51" s="55">
        <f>IF($J$5&gt;1, O50*K51*(1+$O$5), 0)</f>
        <v>0</v>
      </c>
      <c r="D51" s="55">
        <f>IF($J$5&gt;2, O50*L51*(1+$O$5)^2, 0)</f>
        <v>0</v>
      </c>
      <c r="E51" s="55">
        <f>IF($J$5&gt;3, O50*M51*(1+$O$5)^3, 0)</f>
        <v>0</v>
      </c>
      <c r="F51" s="55">
        <f>IF($J$5&gt;4, O50*N51*(1+$O$5)^4, 0)</f>
        <v>0</v>
      </c>
      <c r="G51" s="54">
        <f>SUM(B51:F51)</f>
        <v>0</v>
      </c>
      <c r="H51" s="14"/>
      <c r="I51" s="107" t="s">
        <v>26</v>
      </c>
      <c r="J51" s="26">
        <v>0</v>
      </c>
      <c r="K51" s="26">
        <f>IF($J$5&gt;1,J51,0)</f>
        <v>0</v>
      </c>
      <c r="L51" s="26">
        <f>IF($J$5&gt;2,K51,0)</f>
        <v>0</v>
      </c>
      <c r="M51" s="26">
        <f>IF($J$5&gt;3,L51,0)</f>
        <v>0</v>
      </c>
      <c r="N51" s="26">
        <f>IF($J$5&gt;4,M51,0)</f>
        <v>0</v>
      </c>
      <c r="O51" s="22"/>
      <c r="P51" s="154"/>
      <c r="Q51" s="154"/>
      <c r="U51" s="92"/>
    </row>
    <row r="52" spans="1:22" outlineLevel="2" x14ac:dyDescent="0.25">
      <c r="B52" s="55"/>
      <c r="C52" s="55"/>
      <c r="D52" s="56"/>
      <c r="E52" s="56"/>
      <c r="F52" s="56"/>
      <c r="G52" s="54"/>
      <c r="H52" s="14"/>
      <c r="I52" s="53" t="s">
        <v>48</v>
      </c>
      <c r="J52" s="105" t="b">
        <f>IF(J54&gt;0%,IF(J54&lt;50%,IF(J54&gt;0,($U$3/2),0),$U$3),IF(J55&gt;0%,IF(J55&lt;50%,IF(J55&gt;0,($U$3/2),0),$U$3)))</f>
        <v>0</v>
      </c>
      <c r="K52" s="105" t="b">
        <f>IF(K54&gt;0%,IF(K54&lt;50%,IF(K54&gt;0,(($U$3*(1+$V$3))/2),0),($U$3*(1+$V$3))),IF(K55&gt;0%,IF(K55&lt;50%,IF(K55&gt;0,(($U$3*(1+$V$3))/2),0),($U$3*(1+$V$3)))))</f>
        <v>0</v>
      </c>
      <c r="L52" s="105" t="b">
        <f>IF(L54&gt;0%,IF(L54&lt;50%,IF(L54&gt;0,(($U$3*(1+$V$3)^2)/2),0),($U$3*(1+$V$3)^2)),IF(L55&gt;0%,IF(L55&lt;50%,IF(L55&gt;0,(($U$3*(1+$V$3)^2)/2),0),($U$3*(1+$V$3)^2))))</f>
        <v>0</v>
      </c>
      <c r="M52" s="105" t="b">
        <f>IF(M54&gt;0%,IF(M54&lt;50%,IF(M54&gt;0,(($U$3*(1+$V$3)^3)/2),0),($U$3*(1+$V$3)^3)),IF(M55&gt;0%,IF(M55&lt;50%,IF(M55&gt;0,(($U$3*(1+$V$3)^3)/2),0),($U$3*(1+$V$3)^3))))</f>
        <v>0</v>
      </c>
      <c r="N52" s="105" t="b">
        <f>IF(N54&gt;0%,IF(N54&lt;50%,IF(N54&gt;0,(($U$3*(1+$V$3)^4)/2),0),($U$3*(1+$V$3)^4)),IF(N55&gt;0%,IF(N55&lt;50%,IF(N55&gt;0,(($U$3*(1+$V$3)^4)/2),0),($U$3*(1+$V$3)^4))))</f>
        <v>0</v>
      </c>
      <c r="O52" s="49" t="s">
        <v>51</v>
      </c>
      <c r="P52" s="153"/>
      <c r="Q52" s="153"/>
      <c r="T52" s="2"/>
      <c r="U52" s="251"/>
      <c r="V52" s="1"/>
    </row>
    <row r="53" spans="1:22" outlineLevel="2" x14ac:dyDescent="0.25">
      <c r="A53" s="23" t="s">
        <v>85</v>
      </c>
      <c r="B53" s="55"/>
      <c r="C53" s="55"/>
      <c r="D53" s="56"/>
      <c r="E53" s="56"/>
      <c r="F53" s="56"/>
      <c r="G53" s="54"/>
      <c r="H53" s="14"/>
      <c r="I53" s="106" t="s">
        <v>128</v>
      </c>
      <c r="J53" s="5">
        <f>IF($U53="F",J54*12,SUM(J55*9,J56))</f>
        <v>0</v>
      </c>
      <c r="K53" s="5">
        <f>IF($U53="F",K54*12,SUM(K55*9,K56))</f>
        <v>0</v>
      </c>
      <c r="L53" s="5">
        <f>IF($U53="F",L54*12,SUM(L55*9,L56))</f>
        <v>0</v>
      </c>
      <c r="M53" s="5">
        <f>IF($U53="F",M54*12,SUM(M55*9,M56))</f>
        <v>0</v>
      </c>
      <c r="N53" s="5">
        <f>IF($U53="F",N54*12,SUM(N55*9,N56))</f>
        <v>0</v>
      </c>
      <c r="O53" s="49"/>
      <c r="P53" s="153" t="s">
        <v>126</v>
      </c>
      <c r="Q53" s="153" t="s">
        <v>127</v>
      </c>
      <c r="T53" s="143">
        <v>0</v>
      </c>
      <c r="U53" s="144"/>
      <c r="V53"/>
    </row>
    <row r="54" spans="1:22" outlineLevel="2" x14ac:dyDescent="0.25">
      <c r="A54" s="13" t="str">
        <f>ROUND(P54*100, 2)&amp;"% Avg. Fiscal Effort, "&amp;ROUND(Q54, 2)&amp;" Avg. Calendar Months"</f>
        <v>0% Avg. Fiscal Effort, 0 Avg. Calendar Months</v>
      </c>
      <c r="B54" s="55">
        <f>O54*J54</f>
        <v>0</v>
      </c>
      <c r="C54" s="55">
        <f>IF($J$5&gt;1,IF($U$2&lt;&gt;0,IF(O54*(1+$O$5)&lt;=$U$2,O54*K54*(1+$O$5),$U$2*K54),O54*K54*(1+$O$5)),0)</f>
        <v>0</v>
      </c>
      <c r="D54" s="55">
        <f>IF($J$5&gt;2,IF($U$2&lt;&gt;0,IF(O54*(1+$O$5)^2&lt;=$U$2,O54*L54*(1+$O$5)^2,$U$2*L54),O54*L54*(1+$O$5)^2),0)</f>
        <v>0</v>
      </c>
      <c r="E54" s="55">
        <f>IF($J$5&gt;3,IF($U$2&lt;&gt;0,IF(O54*(1+$O$5)^3&lt;=$U$2,O54*M54*(1+$O$5)^3,$U$2*M54),O54*M54*(1+$O$5)^3),0)</f>
        <v>0</v>
      </c>
      <c r="F54" s="55">
        <f>IF($J$5&gt;4,IF($U$2&lt;&gt;0,IF(O54*(1+$O$5)^4&lt;=$U$2,O54*N54*(1+$O$5)^4,$U$2*N54),O54*N54*(1+$O$5)^4),0)</f>
        <v>0</v>
      </c>
      <c r="G54" s="54">
        <f>SUM(B54:F54)</f>
        <v>0</v>
      </c>
      <c r="H54" s="14"/>
      <c r="I54" s="106" t="s">
        <v>26</v>
      </c>
      <c r="J54" s="17">
        <v>0</v>
      </c>
      <c r="K54" s="17">
        <f>IF($J$5&gt;1,J54,0)</f>
        <v>0</v>
      </c>
      <c r="L54" s="17">
        <f>IF($J$5&gt;2,K54,0)</f>
        <v>0</v>
      </c>
      <c r="M54" s="17">
        <f>IF($J$5&gt;3,L54,0)</f>
        <v>0</v>
      </c>
      <c r="N54" s="17">
        <f>IF($J$5&gt;4,M54,0)</f>
        <v>0</v>
      </c>
      <c r="O54" s="145">
        <f>IF(U53="F",IF($U$2&lt;&gt;0,IF(T53&gt;$U$2,$U$2,T53),T53),0)</f>
        <v>0</v>
      </c>
      <c r="P54" s="154">
        <f>SUM(J53:N53)/(ROUNDUP($J$5,0)*12)</f>
        <v>0</v>
      </c>
      <c r="Q54" s="155">
        <f>(SUM(J53:N53)/(CEILING($J$5*12,12)))*12</f>
        <v>0</v>
      </c>
      <c r="T54" s="90"/>
      <c r="U54" s="92"/>
    </row>
    <row r="55" spans="1:22" outlineLevel="2" x14ac:dyDescent="0.25">
      <c r="A55" s="481" t="str">
        <f>ROUND(P54*100,2)&amp;"% Annualized Effort, "&amp;ROUND(Q55,2)&amp;" Avg. Academic Months
"&amp;IF(SUM(J56:N56)&gt;0," and "&amp;Q56 &amp;" Avg. Summer Months", "")</f>
        <v xml:space="preserve">0% Annualized Effort, 0 Avg. Academic Months
</v>
      </c>
      <c r="B55" s="55">
        <f>J55*O55</f>
        <v>0</v>
      </c>
      <c r="C55" s="55">
        <f>IF($J$5&gt;1,IF($U$2&lt;&gt;0,IF(O55*(1+$O$5)&lt;=$U$2*0.75,O55*K55*(1+$O$5),$U$2*0.75*K55),O55*K55*(1+$O$5)),0)</f>
        <v>0</v>
      </c>
      <c r="D55" s="55">
        <f>IF($J$5&gt;2,IF($U$2&lt;&gt;0,IF(O55*(1+$O$5)^2&lt;=$U$2*0.75,O55*L55*(1+$O$5)^2,$U$2*0.75*L55),O55*L55*(1+$O$5)^2),0)</f>
        <v>0</v>
      </c>
      <c r="E55" s="55">
        <f>IF($J$5&gt;3,IF($U$2&lt;&gt;0,IF(O55*(1+$O$5)^3&lt;=$U$2*0.75,O55*M55*(1+$O$5)^3,$U$2*0.75*M55),O55*M55*(1+$O$5)^3),0)</f>
        <v>0</v>
      </c>
      <c r="F55" s="55">
        <f>IF($J$5&gt;4,IF($U$2&lt;&gt;0,IF(O55*(1+$O$5)^4&lt;=$U$2*0.75,O55*N55*(1+$O$5)^4,$U$2*0.75*N55),O55*N55*(1+$O$5)^4),0)</f>
        <v>0</v>
      </c>
      <c r="G55" s="54">
        <f>SUM(B55:F55)</f>
        <v>0</v>
      </c>
      <c r="H55" s="14"/>
      <c r="I55" s="106" t="s">
        <v>15</v>
      </c>
      <c r="J55" s="17">
        <v>0</v>
      </c>
      <c r="K55" s="17">
        <f>IF($J$5&gt;1,J55,0)</f>
        <v>0</v>
      </c>
      <c r="L55" s="17">
        <f>IF($J$5&gt;2,K55,0)</f>
        <v>0</v>
      </c>
      <c r="M55" s="17">
        <f>IF($J$5&gt;3,L55,0)</f>
        <v>0</v>
      </c>
      <c r="N55" s="17">
        <f>IF($J$5&gt;4,M55,0)</f>
        <v>0</v>
      </c>
      <c r="O55" s="145">
        <f>IF(U53="A",IF($U$2&lt;&gt;0,IF(T53&gt;($U$2/12*9),($U$2/12*9),T53),T53),0)</f>
        <v>0</v>
      </c>
      <c r="P55" s="166"/>
      <c r="Q55" s="156">
        <f>((SUM(J53:N53)-SUM(J56:N56))/(CEILING($J$5*9,9)))*9</f>
        <v>0</v>
      </c>
      <c r="R55" s="12"/>
      <c r="S55" s="12"/>
      <c r="T55" s="90"/>
      <c r="U55" s="92"/>
    </row>
    <row r="56" spans="1:22" outlineLevel="2" x14ac:dyDescent="0.25">
      <c r="A56" s="481"/>
      <c r="B56" s="55">
        <f>J56/3*O56</f>
        <v>0</v>
      </c>
      <c r="C56" s="55">
        <f>IF($J$5&gt;1,IF($U$2&lt;&gt;0,IF(O56*(1+$O$5)&lt;=$U$2*0.25,O56*K56/3*(1+$O$5),$U$2*0.25*K56/3),O56*K56/3*(1+$O$5)),0)</f>
        <v>0</v>
      </c>
      <c r="D56" s="55">
        <f>IF($J$5&gt;2,IF($U$2&lt;&gt;0,IF(O56*(1+$O$5)^2&lt;=$U$2*0.25,O56*L56/3*(1+$O$5)^2,$U$2*0.25*L56/3),O56*L56/3*(1+$O$5)^2),0)</f>
        <v>0</v>
      </c>
      <c r="E56" s="55">
        <f>IF($J$5&gt;3,IF($U$2&lt;&gt;0,IF(O56*(1+$O$5)^3&lt;=$U$2*0.25,O56*M56/3*(1+$O$5)^3,$U$2*0.25*M56/3),O56*M56/3*(1+$O$5)^3),0)</f>
        <v>0</v>
      </c>
      <c r="F56" s="55">
        <f>IF($J$5&gt;4,IF($U$2&lt;&gt;0,IF(O56*(1+$O$5)^4&lt;=$U$2*0.25,O56*N56/3*(1+$O$5)^4,$U$2*0.25*N56/3),O56*N56/3*(1+$O$5)^4),0)</f>
        <v>0</v>
      </c>
      <c r="G56" s="54">
        <f>SUM(B56:F56)</f>
        <v>0</v>
      </c>
      <c r="H56" s="14"/>
      <c r="I56" s="107" t="s">
        <v>17</v>
      </c>
      <c r="J56" s="188">
        <v>0</v>
      </c>
      <c r="K56" s="188">
        <f>IF($J$5&gt;1,J56,0)</f>
        <v>0</v>
      </c>
      <c r="L56" s="188">
        <f>IF($J$5&gt;2,K56,0)</f>
        <v>0</v>
      </c>
      <c r="M56" s="188">
        <f>IF($J$5&gt;3,L56,0)</f>
        <v>0</v>
      </c>
      <c r="N56" s="188">
        <f>IF($J$5&gt;4,M56,0)</f>
        <v>0</v>
      </c>
      <c r="O56" s="167">
        <f>IF(U53="A",IF($U$2&lt;&gt;0,IF(T53/9*3&gt;($U$2/12*3),($U$2/12*3),T53/9*3),T53/9*3),0)</f>
        <v>0</v>
      </c>
      <c r="P56" s="157"/>
      <c r="Q56" s="157">
        <f>((SUM(J53:N53)-SUM(J55:N55)*9)/(CEILING($J$5*3,3)))*3</f>
        <v>0</v>
      </c>
      <c r="R56" s="12"/>
      <c r="S56" s="12"/>
      <c r="U56" s="92"/>
      <c r="V56" s="148"/>
    </row>
    <row r="57" spans="1:22" outlineLevel="2" x14ac:dyDescent="0.25">
      <c r="B57" s="55"/>
      <c r="C57" s="55"/>
      <c r="D57" s="56"/>
      <c r="E57" s="56"/>
      <c r="F57" s="56"/>
      <c r="G57" s="54"/>
      <c r="H57" s="14"/>
      <c r="I57" s="53" t="s">
        <v>48</v>
      </c>
      <c r="J57" s="105" t="b">
        <f>IF(J59&gt;0%,IF(J59&lt;50%,IF(J59&gt;0,($U$3/2),0),$U$3),IF(J60&gt;0%,IF(J60&lt;50%,IF(J60&gt;0,($U$3/2),0),$U$3)))</f>
        <v>0</v>
      </c>
      <c r="K57" s="105" t="b">
        <f>IF(K59&gt;0%,IF(K59&lt;50%,IF(K59&gt;0,(($U$3*(1+$V$3))/2),0),($U$3*(1+$V$3))),IF(K60&gt;0%,IF(K60&lt;50%,IF(K60&gt;0,(($U$3*(1+$V$3))/2),0),($U$3*(1+$V$3)))))</f>
        <v>0</v>
      </c>
      <c r="L57" s="105" t="b">
        <f>IF(L59&gt;0%,IF(L59&lt;50%,IF(L59&gt;0,(($U$3*(1+$V$3)^2)/2),0),($U$3*(1+$V$3)^2)),IF(L60&gt;0%,IF(L60&lt;50%,IF(L60&gt;0,(($U$3*(1+$V$3)^2)/2),0),($U$3*(1+$V$3)^2))))</f>
        <v>0</v>
      </c>
      <c r="M57" s="105" t="b">
        <f>IF(M59&gt;0%,IF(M59&lt;50%,IF(M59&gt;0,(($U$3*(1+$V$3)^3)/2),0),($U$3*(1+$V$3)^3)),IF(M60&gt;0%,IF(M60&lt;50%,IF(M60&gt;0,(($U$3*(1+$V$3)^3)/2),0),($U$3*(1+$V$3)^3))))</f>
        <v>0</v>
      </c>
      <c r="N57" s="105" t="b">
        <f>IF(N59&gt;0%,IF(N59&lt;50%,IF(N59&gt;0,(($U$3*(1+$V$3)^4)/2),0),($U$3*(1+$V$3)^4)),IF(N60&gt;0%,IF(N60&lt;50%,IF(N60&gt;0,(($U$3*(1+$V$3)^4)/2),0),($U$3*(1+$V$3)^4))))</f>
        <v>0</v>
      </c>
      <c r="O57" s="49" t="s">
        <v>51</v>
      </c>
      <c r="P57" s="153"/>
      <c r="Q57" s="153"/>
      <c r="V57" s="1"/>
    </row>
    <row r="58" spans="1:22" outlineLevel="2" x14ac:dyDescent="0.25">
      <c r="A58" s="23" t="s">
        <v>85</v>
      </c>
      <c r="B58" s="55"/>
      <c r="C58" s="55"/>
      <c r="D58" s="56"/>
      <c r="E58" s="56"/>
      <c r="F58" s="56"/>
      <c r="G58" s="54"/>
      <c r="H58" s="14"/>
      <c r="I58" s="106" t="s">
        <v>128</v>
      </c>
      <c r="J58" s="5">
        <f>IF($U58="F",J59*12,SUM(J60*9,J61))</f>
        <v>0</v>
      </c>
      <c r="K58" s="5">
        <f>IF($U58="F",K59*12,SUM(K60*9,K61))</f>
        <v>0</v>
      </c>
      <c r="L58" s="5">
        <f>IF($U58="F",L59*12,SUM(L60*9,L61))</f>
        <v>0</v>
      </c>
      <c r="M58" s="5">
        <f>IF($U58="F",M59*12,SUM(M60*9,M61))</f>
        <v>0</v>
      </c>
      <c r="N58" s="5">
        <f>IF($U58="F",N59*12,SUM(N60*9,N61))</f>
        <v>0</v>
      </c>
      <c r="O58" s="49"/>
      <c r="P58" s="153" t="s">
        <v>126</v>
      </c>
      <c r="Q58" s="153" t="s">
        <v>127</v>
      </c>
      <c r="T58" s="143">
        <v>0</v>
      </c>
      <c r="U58" s="144"/>
      <c r="V58" s="1"/>
    </row>
    <row r="59" spans="1:22" outlineLevel="2" x14ac:dyDescent="0.25">
      <c r="A59" s="13" t="str">
        <f>ROUND(P59*100, 2)&amp;"% Avg. Fiscal Effort, "&amp;ROUND(Q59, 2)&amp;" Avg. Calendar Months"</f>
        <v>0% Avg. Fiscal Effort, 0 Avg. Calendar Months</v>
      </c>
      <c r="B59" s="55">
        <f>O59*J59</f>
        <v>0</v>
      </c>
      <c r="C59" s="55">
        <f>IF($J$5&gt;1,IF($U$2&lt;&gt;0,IF(O59*(1+$O$5)&lt;=$U$2,O59*K59*(1+$O$5),$U$2*K59),O59*K59*(1+$O$5)),0)</f>
        <v>0</v>
      </c>
      <c r="D59" s="55">
        <f>IF($J$5&gt;2,IF($U$2&lt;&gt;0,IF(O59*(1+$O$5)^2&lt;=$U$2,O59*L59*(1+$O$5)^2,$U$2*L59),O59*L59*(1+$O$5)^2),0)</f>
        <v>0</v>
      </c>
      <c r="E59" s="55">
        <f>IF($J$5&gt;3,IF($U$2&lt;&gt;0,IF(O59*(1+$O$5)^3&lt;=$U$2,O59*M59*(1+$O$5)^3,$U$2*M59),O59*M59*(1+$O$5)^3),0)</f>
        <v>0</v>
      </c>
      <c r="F59" s="55">
        <f>IF($J$5&gt;4,IF($U$2&lt;&gt;0,IF(O59*(1+$O$5)^4&lt;=$U$2,O59*N59*(1+$O$5)^4,$U$2*N59),O59*N59*(1+$O$5)^4),0)</f>
        <v>0</v>
      </c>
      <c r="G59" s="54">
        <f>SUM(B59:F59)</f>
        <v>0</v>
      </c>
      <c r="H59" s="14"/>
      <c r="I59" s="106" t="s">
        <v>26</v>
      </c>
      <c r="J59" s="17">
        <v>0</v>
      </c>
      <c r="K59" s="17">
        <f>IF($J$5&gt;1,J59,0)</f>
        <v>0</v>
      </c>
      <c r="L59" s="17">
        <f>IF($J$5&gt;2,K59,0)</f>
        <v>0</v>
      </c>
      <c r="M59" s="17">
        <f>IF($J$5&gt;3,L59,0)</f>
        <v>0</v>
      </c>
      <c r="N59" s="17">
        <f>IF($J$5&gt;4,M59,0)</f>
        <v>0</v>
      </c>
      <c r="O59" s="145">
        <f>IF(U58="F",IF($U$2&lt;&gt;0,IF(T58&gt;$U$2,$U$2,T58),T58),0)</f>
        <v>0</v>
      </c>
      <c r="P59" s="154">
        <f>SUM(J58:N58)/(ROUNDUP($J$5,0)*12)</f>
        <v>0</v>
      </c>
      <c r="Q59" s="155">
        <f>(SUM(J58:N58)/(CEILING($J$5*12,12)))*12</f>
        <v>0</v>
      </c>
      <c r="T59" s="90"/>
      <c r="U59" s="92"/>
    </row>
    <row r="60" spans="1:22" outlineLevel="2" x14ac:dyDescent="0.25">
      <c r="A60" s="481" t="str">
        <f>ROUND(P59*100,2)&amp;"% Annualized Effort, "&amp;ROUND(Q60,2)&amp;" Avg. Academic Months
"&amp;IF(SUM(J61:N61)&gt;0," and "&amp;Q61 &amp;" Avg. Summer Months", "")</f>
        <v xml:space="preserve">0% Annualized Effort, 0 Avg. Academic Months
</v>
      </c>
      <c r="B60" s="55">
        <f>J60*O60</f>
        <v>0</v>
      </c>
      <c r="C60" s="55">
        <f>IF($J$5&gt;1,IF($U$2&lt;&gt;0,IF(O60*(1+$O$5)&lt;=$U$2*0.75,O60*K60*(1+$O$5),$U$2*0.75*K60),O60*K60*(1+$O$5)),0)</f>
        <v>0</v>
      </c>
      <c r="D60" s="55">
        <f>IF($J$5&gt;2,IF($U$2&lt;&gt;0,IF(O60*(1+$O$5)^2&lt;=$U$2*0.75,O60*L60*(1+$O$5)^2,$U$2*0.75*L60),O60*L60*(1+$O$5)^2),0)</f>
        <v>0</v>
      </c>
      <c r="E60" s="55">
        <f>IF($J$5&gt;3,IF($U$2&lt;&gt;0,IF(O60*(1+$O$5)^3&lt;=$U$2*0.75,O60*M60*(1+$O$5)^3,$U$2*0.75*M60),O60*M60*(1+$O$5)^3),0)</f>
        <v>0</v>
      </c>
      <c r="F60" s="55">
        <f>IF($J$5&gt;4,IF($U$2&lt;&gt;0,IF(O60*(1+$O$5)^4&lt;=$U$2*0.75,O60*N60*(1+$O$5)^4,$U$2*0.75*N60),O60*N60*(1+$O$5)^4),0)</f>
        <v>0</v>
      </c>
      <c r="G60" s="54">
        <f>SUM(B60:F60)</f>
        <v>0</v>
      </c>
      <c r="H60" s="14"/>
      <c r="I60" s="106" t="s">
        <v>15</v>
      </c>
      <c r="J60" s="17">
        <v>0</v>
      </c>
      <c r="K60" s="17">
        <f>IF($J$5&gt;1,J60,0)</f>
        <v>0</v>
      </c>
      <c r="L60" s="17">
        <f>IF($J$5&gt;2,K60,0)</f>
        <v>0</v>
      </c>
      <c r="M60" s="17">
        <f>IF($J$5&gt;3,L60,0)</f>
        <v>0</v>
      </c>
      <c r="N60" s="17">
        <f>IF($J$5&gt;4,M60,0)</f>
        <v>0</v>
      </c>
      <c r="O60" s="145">
        <f>IF(U58="A",IF($U$2&lt;&gt;0,IF(T58&gt;($U$2/12*9),($U$2/12*9),T58),T58),0)</f>
        <v>0</v>
      </c>
      <c r="P60" s="166"/>
      <c r="Q60" s="156">
        <f>((SUM(J58:N58)-SUM(J61:N61))/(CEILING($J$5*9,9)))*9</f>
        <v>0</v>
      </c>
      <c r="R60" s="12"/>
      <c r="S60" s="12"/>
      <c r="T60" s="90"/>
      <c r="U60" s="92"/>
    </row>
    <row r="61" spans="1:22" outlineLevel="2" x14ac:dyDescent="0.25">
      <c r="A61" s="481"/>
      <c r="B61" s="55">
        <f>J61/3*O61</f>
        <v>0</v>
      </c>
      <c r="C61" s="55">
        <f>IF($J$5&gt;1,IF($U$2&lt;&gt;0,IF(O61*(1+$O$5)&lt;=$U$2*0.25,O61*K61/3*(1+$O$5),$U$2*0.25*K61/3),O61*K61/3*(1+$O$5)),0)</f>
        <v>0</v>
      </c>
      <c r="D61" s="55">
        <f>IF($J$5&gt;2,IF($U$2&lt;&gt;0,IF(O61*(1+$O$5)^2&lt;=$U$2*0.25,O61*L61/3*(1+$O$5)^2,$U$2*0.25*L61/3),O61*L61/3*(1+$O$5)^2),0)</f>
        <v>0</v>
      </c>
      <c r="E61" s="55">
        <f>IF($J$5&gt;3,IF($U$2&lt;&gt;0,IF(O61*(1+$O$5)^3&lt;=$U$2*0.25,O61*M61/3*(1+$O$5)^3,$U$2*0.25*M61/3),O61*M61/3*(1+$O$5)^3),0)</f>
        <v>0</v>
      </c>
      <c r="F61" s="55">
        <f>IF($J$5&gt;4,IF($U$2&lt;&gt;0,IF(O61*(1+$O$5)^4&lt;=$U$2*0.25,O61*N61/3*(1+$O$5)^4,$U$2*0.25*N61/3),O61*N61/3*(1+$O$5)^4),0)</f>
        <v>0</v>
      </c>
      <c r="G61" s="54">
        <f>SUM(B61:F61)</f>
        <v>0</v>
      </c>
      <c r="H61" s="14"/>
      <c r="I61" s="107" t="s">
        <v>17</v>
      </c>
      <c r="J61" s="188">
        <v>0</v>
      </c>
      <c r="K61" s="188">
        <f>IF($J$5&gt;1,J61,0)</f>
        <v>0</v>
      </c>
      <c r="L61" s="188">
        <f>IF($J$5&gt;2,K61,0)</f>
        <v>0</v>
      </c>
      <c r="M61" s="188">
        <f>IF($J$5&gt;3,L61,0)</f>
        <v>0</v>
      </c>
      <c r="N61" s="188">
        <f>IF($J$5&gt;4,M61,0)</f>
        <v>0</v>
      </c>
      <c r="O61" s="167">
        <f>IF(U58="A",IF($U$2&lt;&gt;0,IF(T58/9*3&gt;($U$2/12*3),($U$2/12*3),T58/9*3),T58/9*3),0)</f>
        <v>0</v>
      </c>
      <c r="P61" s="157"/>
      <c r="Q61" s="157">
        <f>((SUM(J58:N58)-SUM(J60:N60)*9)/(CEILING($J$5*3,3)))*3</f>
        <v>0</v>
      </c>
      <c r="R61" s="12"/>
      <c r="S61" s="12"/>
      <c r="U61" s="92"/>
      <c r="V61" s="148"/>
    </row>
    <row r="62" spans="1:22" outlineLevel="2" x14ac:dyDescent="0.25">
      <c r="B62" s="55"/>
      <c r="C62" s="55"/>
      <c r="D62" s="55"/>
      <c r="E62" s="55"/>
      <c r="F62" s="55"/>
      <c r="G62" s="54"/>
      <c r="H62" s="14"/>
      <c r="I62" s="53" t="s">
        <v>48</v>
      </c>
      <c r="J62" s="105" t="b">
        <f>IF(J64&gt;0%,IF(J64&lt;50%,IF(J64&gt;0,($U$3/2),0),$U$3),IF(J65&gt;0%,IF(J65&lt;50%,IF(J65&gt;0,($U$3/2),0),$U$3)))</f>
        <v>0</v>
      </c>
      <c r="K62" s="105" t="b">
        <f>IF(K64&gt;0%,IF(K64&lt;50%,IF(K64&gt;0,(($U$3*(1+$V$3))/2),0),($U$3*(1+$V$3))),IF(K65&gt;0%,IF(K65&lt;50%,IF(K65&gt;0,(($U$3*(1+$V$3))/2),0),($U$3*(1+$V$3)))))</f>
        <v>0</v>
      </c>
      <c r="L62" s="105" t="b">
        <f>IF(L64&gt;0%,IF(L64&lt;50%,IF(L64&gt;0,(($U$3*(1+$V$3)^2)/2),0),($U$3*(1+$V$3)^2)),IF(L65&gt;0%,IF(L65&lt;50%,IF(L65&gt;0,(($U$3*(1+$V$3)^2)/2),0),($U$3*(1+$V$3)^2))))</f>
        <v>0</v>
      </c>
      <c r="M62" s="105" t="b">
        <f>IF(M64&gt;0%,IF(M64&lt;50%,IF(M64&gt;0,(($U$3*(1+$V$3)^3)/2),0),($U$3*(1+$V$3)^3)),IF(M65&gt;0%,IF(M65&lt;50%,IF(M65&gt;0,(($U$3*(1+$V$3)^3)/2),0),($U$3*(1+$V$3)^3))))</f>
        <v>0</v>
      </c>
      <c r="N62" s="105" t="b">
        <f>IF(N64&gt;0%,IF(N64&lt;50%,IF(N64&gt;0,(($U$3*(1+$V$3)^4)/2),0),($U$3*(1+$V$3)^4)),IF(N65&gt;0%,IF(N65&lt;50%,IF(N65&gt;0,(($U$3*(1+$V$3)^4)/2),0),($U$3*(1+$V$3)^4))))</f>
        <v>0</v>
      </c>
      <c r="O62" s="49" t="s">
        <v>51</v>
      </c>
      <c r="P62" s="153"/>
      <c r="Q62" s="153"/>
      <c r="V62" s="1"/>
    </row>
    <row r="63" spans="1:22" outlineLevel="2" x14ac:dyDescent="0.25">
      <c r="A63" s="23" t="s">
        <v>85</v>
      </c>
      <c r="B63" s="55"/>
      <c r="C63" s="55"/>
      <c r="D63" s="55"/>
      <c r="E63" s="55"/>
      <c r="F63" s="55"/>
      <c r="G63" s="54"/>
      <c r="H63" s="14"/>
      <c r="I63" s="106" t="s">
        <v>128</v>
      </c>
      <c r="J63" s="5">
        <f>IF($U63="F",J64*12,SUM(J65*9,J66))</f>
        <v>0</v>
      </c>
      <c r="K63" s="5">
        <f>IF($U63="F",K64*12,SUM(K65*9,K66))</f>
        <v>0</v>
      </c>
      <c r="L63" s="5">
        <f>IF($U63="F",L64*12,SUM(L65*9,L66))</f>
        <v>0</v>
      </c>
      <c r="M63" s="5">
        <f>IF($U63="F",M64*12,SUM(M65*9,M66))</f>
        <v>0</v>
      </c>
      <c r="N63" s="5">
        <f>IF($U63="F",N64*12,SUM(N65*9,N66))</f>
        <v>0</v>
      </c>
      <c r="O63" s="49"/>
      <c r="P63" s="153" t="s">
        <v>126</v>
      </c>
      <c r="Q63" s="153" t="s">
        <v>127</v>
      </c>
      <c r="T63" s="143">
        <v>0</v>
      </c>
      <c r="U63" s="144"/>
      <c r="V63" s="1"/>
    </row>
    <row r="64" spans="1:22" outlineLevel="2" x14ac:dyDescent="0.25">
      <c r="A64" s="13" t="str">
        <f>ROUND(P64*100, 2)&amp;"% Avg. Fiscal Effort, "&amp;ROUND(Q64, 2)&amp;" Avg. Calendar Months"</f>
        <v>0% Avg. Fiscal Effort, 0 Avg. Calendar Months</v>
      </c>
      <c r="B64" s="55">
        <f>O64*J64</f>
        <v>0</v>
      </c>
      <c r="C64" s="55">
        <f>IF($J$5&gt;1,IF($U$2&lt;&gt;0,IF(O64*(1+$O$5)&lt;=$U$2,O64*K64*(1+$O$5),$U$2*K64),O64*K64*(1+$O$5)),0)</f>
        <v>0</v>
      </c>
      <c r="D64" s="55">
        <f>IF($J$5&gt;2,IF($U$2&lt;&gt;0,IF(O64*(1+$O$5)^2&lt;=$U$2,O64*L64*(1+$O$5)^2,$U$2*L64),O64*L64*(1+$O$5)^2),0)</f>
        <v>0</v>
      </c>
      <c r="E64" s="55">
        <f>IF($J$5&gt;3,IF($U$2&lt;&gt;0,IF(O64*(1+$O$5)^3&lt;=$U$2,O64*M64*(1+$O$5)^3,$U$2*M64),O64*M64*(1+$O$5)^3),0)</f>
        <v>0</v>
      </c>
      <c r="F64" s="55">
        <f>IF($J$5&gt;4,IF($U$2&lt;&gt;0,IF(O64*(1+$O$5)^4&lt;=$U$2,O64*N64*(1+$O$5)^4,$U$2*N64),O64*N64*(1+$O$5)^4),0)</f>
        <v>0</v>
      </c>
      <c r="G64" s="54">
        <f>SUM(B64:F64)</f>
        <v>0</v>
      </c>
      <c r="H64" s="14"/>
      <c r="I64" s="106" t="s">
        <v>26</v>
      </c>
      <c r="J64" s="17">
        <v>0</v>
      </c>
      <c r="K64" s="17">
        <f>IF($J$5&gt;1,J64,0)</f>
        <v>0</v>
      </c>
      <c r="L64" s="17">
        <f>IF($J$5&gt;2,K64,0)</f>
        <v>0</v>
      </c>
      <c r="M64" s="17">
        <f>IF($J$5&gt;3,L64,0)</f>
        <v>0</v>
      </c>
      <c r="N64" s="17">
        <f>IF($J$5&gt;4,M64,0)</f>
        <v>0</v>
      </c>
      <c r="O64" s="145">
        <f>IF(U63="F",IF($U$2&lt;&gt;0,IF(T63&gt;$U$2,$U$2,T63),T63),0)</f>
        <v>0</v>
      </c>
      <c r="P64" s="154">
        <f>SUM(J63:N63)/(ROUNDUP($J$5,0)*12)</f>
        <v>0</v>
      </c>
      <c r="Q64" s="155">
        <f>(SUM(J63:N63)/(CEILING($J$5*12,12)))*12</f>
        <v>0</v>
      </c>
      <c r="T64" s="90"/>
      <c r="U64" s="92"/>
    </row>
    <row r="65" spans="1:22" outlineLevel="2" x14ac:dyDescent="0.25">
      <c r="A65" s="481" t="str">
        <f>ROUND(P64*100,2)&amp;"% Annualized Effort, "&amp;ROUND(Q65,2)&amp;" Avg. Academic Months
"&amp;IF(SUM(J66:N66)&gt;0," and "&amp;Q66 &amp;" Avg. Summer Months", "")</f>
        <v xml:space="preserve">0% Annualized Effort, 0 Avg. Academic Months
</v>
      </c>
      <c r="B65" s="55">
        <f>J65*O65</f>
        <v>0</v>
      </c>
      <c r="C65" s="55">
        <f>IF($J$5&gt;1,IF($U$2&lt;&gt;0,IF(O65*(1+$O$5)&lt;=$U$2*0.75,O65*K65*(1+$O$5),$U$2*0.75*K65),O65*K65*(1+$O$5)),0)</f>
        <v>0</v>
      </c>
      <c r="D65" s="55">
        <f>IF($J$5&gt;2,IF($U$2&lt;&gt;0,IF(O65*(1+$O$5)^2&lt;=$U$2*0.75,O65*L65*(1+$O$5)^2,$U$2*0.75*L65),O65*L65*(1+$O$5)^2),0)</f>
        <v>0</v>
      </c>
      <c r="E65" s="55">
        <f>IF($J$5&gt;3,IF($U$2&lt;&gt;0,IF(O65*(1+$O$5)^3&lt;=$U$2*0.75,O65*M65*(1+$O$5)^3,$U$2*0.75*M65),O65*M65*(1+$O$5)^3),0)</f>
        <v>0</v>
      </c>
      <c r="F65" s="55">
        <f>IF($J$5&gt;4,IF($U$2&lt;&gt;0,IF(O65*(1+$O$5)^4&lt;=$U$2*0.75,O65*N65*(1+$O$5)^4,$U$2*0.75*N65),O65*N65*(1+$O$5)^4),0)</f>
        <v>0</v>
      </c>
      <c r="G65" s="54">
        <f>SUM(B65:F65)</f>
        <v>0</v>
      </c>
      <c r="H65" s="14"/>
      <c r="I65" s="106" t="s">
        <v>15</v>
      </c>
      <c r="J65" s="17">
        <v>0</v>
      </c>
      <c r="K65" s="17">
        <f>IF($J$5&gt;1,J65,0)</f>
        <v>0</v>
      </c>
      <c r="L65" s="17">
        <f>IF($J$5&gt;2,K65,0)</f>
        <v>0</v>
      </c>
      <c r="M65" s="17">
        <f>IF($J$5&gt;3,L65,0)</f>
        <v>0</v>
      </c>
      <c r="N65" s="17">
        <f>IF($J$5&gt;4,M65,0)</f>
        <v>0</v>
      </c>
      <c r="O65" s="145">
        <f>IF(U63="A",IF($U$2&lt;&gt;0,IF(T63&gt;($U$2/12*9),($U$2/12*9),T63),T63),0)</f>
        <v>0</v>
      </c>
      <c r="P65" s="166"/>
      <c r="Q65" s="156">
        <f>((SUM(J63:N63)-SUM(J66:N66))/(CEILING($J$5*9,9)))*9</f>
        <v>0</v>
      </c>
      <c r="R65" s="12"/>
      <c r="S65" s="12"/>
      <c r="T65" s="90"/>
      <c r="U65" s="92"/>
    </row>
    <row r="66" spans="1:22" outlineLevel="2" x14ac:dyDescent="0.25">
      <c r="A66" s="481"/>
      <c r="B66" s="55">
        <f>J66/3*O66</f>
        <v>0</v>
      </c>
      <c r="C66" s="55">
        <f>IF($J$5&gt;1,IF($U$2&lt;&gt;0,IF(O66*(1+$O$5)&lt;=$U$2*0.25,O66*K66/3*(1+$O$5),$U$2*0.25*K66/3),O66*K66/3*(1+$O$5)),0)</f>
        <v>0</v>
      </c>
      <c r="D66" s="55">
        <f>IF($J$5&gt;2,IF($U$2&lt;&gt;0,IF(O66*(1+$O$5)^2&lt;=$U$2*0.25,O66*L66/3*(1+$O$5)^2,$U$2*0.25*L66/3),O66*L66/3*(1+$O$5)^2),0)</f>
        <v>0</v>
      </c>
      <c r="E66" s="55">
        <f>IF($J$5&gt;3,IF($U$2&lt;&gt;0,IF(O66*(1+$O$5)^3&lt;=$U$2*0.25,O66*M66/3*(1+$O$5)^3,$U$2*0.25*M66/3),O66*M66/3*(1+$O$5)^3),0)</f>
        <v>0</v>
      </c>
      <c r="F66" s="55">
        <f>IF($J$5&gt;4,IF($U$2&lt;&gt;0,IF(O66*(1+$O$5)^4&lt;=$U$2*0.25,O66*N66/3*(1+$O$5)^4,$U$2*0.25*N66/3),O66*N66/3*(1+$O$5)^4),0)</f>
        <v>0</v>
      </c>
      <c r="G66" s="54">
        <f>SUM(B66:F66)</f>
        <v>0</v>
      </c>
      <c r="H66" s="14"/>
      <c r="I66" s="106" t="s">
        <v>17</v>
      </c>
      <c r="J66" s="188">
        <v>0</v>
      </c>
      <c r="K66" s="188">
        <f>IF($J$5&gt;1,J66,0)</f>
        <v>0</v>
      </c>
      <c r="L66" s="188">
        <f>IF($J$5&gt;2,K66,0)</f>
        <v>0</v>
      </c>
      <c r="M66" s="188">
        <f>IF($J$5&gt;3,L66,0)</f>
        <v>0</v>
      </c>
      <c r="N66" s="188">
        <f>IF($J$5&gt;4,M66,0)</f>
        <v>0</v>
      </c>
      <c r="O66" s="167">
        <f>IF(U63="A",IF($U$2&lt;&gt;0,IF(T63/9*3&gt;($U$2/12*3),($U$2/12*3),T63/9*3),T63/9*3),0)</f>
        <v>0</v>
      </c>
      <c r="P66" s="157"/>
      <c r="Q66" s="157">
        <f>((SUM(J63:N63)-SUM(J65:N65)*9)/(CEILING($J$5*3,3)))*3</f>
        <v>0</v>
      </c>
      <c r="R66" s="12"/>
      <c r="S66" s="12"/>
      <c r="U66" s="92"/>
      <c r="V66" s="148"/>
    </row>
    <row r="67" spans="1:22" outlineLevel="2" x14ac:dyDescent="0.25">
      <c r="A67" s="13"/>
      <c r="B67" s="55"/>
      <c r="C67" s="55"/>
      <c r="D67" s="56"/>
      <c r="E67" s="56"/>
      <c r="F67" s="56"/>
      <c r="G67" s="54"/>
      <c r="H67" s="14"/>
      <c r="I67" s="42"/>
      <c r="J67" s="5" t="s">
        <v>6</v>
      </c>
      <c r="K67" s="5" t="s">
        <v>5</v>
      </c>
      <c r="L67" s="5" t="s">
        <v>7</v>
      </c>
      <c r="M67" s="5" t="s">
        <v>8</v>
      </c>
      <c r="N67" s="5" t="s">
        <v>9</v>
      </c>
      <c r="O67" s="187" t="s">
        <v>50</v>
      </c>
      <c r="P67" s="154"/>
      <c r="Q67" s="154"/>
      <c r="V67" s="1"/>
    </row>
    <row r="68" spans="1:22" outlineLevel="2" x14ac:dyDescent="0.25">
      <c r="A68" s="23" t="str">
        <f>"TBN, Student Worker ("&amp;J68&amp;")"</f>
        <v>TBN, Student Worker (0)</v>
      </c>
      <c r="B68" s="55"/>
      <c r="C68" s="55"/>
      <c r="D68" s="56"/>
      <c r="E68" s="56"/>
      <c r="F68" s="56"/>
      <c r="G68" s="54"/>
      <c r="H68" s="14"/>
      <c r="I68" s="4" t="s">
        <v>49</v>
      </c>
      <c r="J68" s="25">
        <v>0</v>
      </c>
      <c r="K68" s="126"/>
      <c r="L68" s="126"/>
      <c r="M68" s="126"/>
      <c r="N68" s="126"/>
      <c r="O68" s="108">
        <v>0</v>
      </c>
      <c r="P68" s="154"/>
      <c r="Q68" s="154"/>
      <c r="V68" s="1"/>
    </row>
    <row r="69" spans="1:22" outlineLevel="2" x14ac:dyDescent="0.25">
      <c r="A69" s="13" t="str">
        <f>J69&amp;" hours per student @ $"&amp;O68&amp;"/hour"</f>
        <v xml:space="preserve"> hours per student @ $0/hour</v>
      </c>
      <c r="B69" s="55">
        <f>J68*J69*O68</f>
        <v>0</v>
      </c>
      <c r="C69" s="55">
        <f>IF($J$5&gt;1,$J$68*K69*$O$68*(1+$O$5),0)</f>
        <v>0</v>
      </c>
      <c r="D69" s="55">
        <f>IF($J$5&gt;2,$J$68*L69*$O$68*(1+$O$5)^2,0)</f>
        <v>0</v>
      </c>
      <c r="E69" s="55">
        <f>IF($J$5&gt;3,$J$68*M69*$O$68*(1+$O$5)^3,0)</f>
        <v>0</v>
      </c>
      <c r="F69" s="55">
        <f>IF($J$5&gt;4,$J$68*N69*$O$68*(1+$O$5)^4,0)</f>
        <v>0</v>
      </c>
      <c r="G69" s="54">
        <f>SUM(B69:F69)</f>
        <v>0</v>
      </c>
      <c r="H69" s="14"/>
      <c r="I69" s="21" t="s">
        <v>56</v>
      </c>
      <c r="J69" s="27"/>
      <c r="K69" s="188">
        <f>IF($J$5&gt;1,J69,0)</f>
        <v>0</v>
      </c>
      <c r="L69" s="27">
        <f>IF($J$5&gt;2,K69,0)</f>
        <v>0</v>
      </c>
      <c r="M69" s="27">
        <f>IF($J$5&gt;3,L69,0)</f>
        <v>0</v>
      </c>
      <c r="N69" s="27">
        <f>IF($J$5&gt;4,M69,0)</f>
        <v>0</v>
      </c>
      <c r="O69" s="22"/>
      <c r="P69" s="154"/>
      <c r="Q69" s="154"/>
      <c r="V69" s="1"/>
    </row>
    <row r="70" spans="1:22" outlineLevel="2" x14ac:dyDescent="0.25">
      <c r="A70" s="13"/>
      <c r="B70" s="55"/>
      <c r="C70" s="55"/>
      <c r="D70" s="55"/>
      <c r="E70" s="55"/>
      <c r="F70" s="55"/>
      <c r="G70" s="54"/>
      <c r="H70" s="14"/>
      <c r="I70" s="4"/>
      <c r="J70" s="126"/>
      <c r="K70" s="126"/>
      <c r="L70" s="126"/>
      <c r="M70" s="126"/>
      <c r="N70" s="126"/>
      <c r="O70" s="51" t="s">
        <v>50</v>
      </c>
      <c r="P70" s="154"/>
      <c r="Q70" s="154"/>
      <c r="V70" s="1"/>
    </row>
    <row r="71" spans="1:22" outlineLevel="2" x14ac:dyDescent="0.25">
      <c r="A71" s="23" t="str">
        <f>"TBN, Student Worker ("&amp;J71&amp;")"</f>
        <v>TBN, Student Worker (0)</v>
      </c>
      <c r="B71" s="55"/>
      <c r="C71" s="55"/>
      <c r="D71" s="56"/>
      <c r="E71" s="56"/>
      <c r="F71" s="56"/>
      <c r="G71" s="54"/>
      <c r="H71" s="14"/>
      <c r="I71" s="4" t="s">
        <v>49</v>
      </c>
      <c r="J71" s="25">
        <v>0</v>
      </c>
      <c r="K71" s="126"/>
      <c r="L71" s="126"/>
      <c r="M71" s="126"/>
      <c r="N71" s="126"/>
      <c r="O71" s="108">
        <v>0</v>
      </c>
      <c r="P71" s="154"/>
      <c r="Q71" s="154"/>
      <c r="V71" s="1"/>
    </row>
    <row r="72" spans="1:22" outlineLevel="2" x14ac:dyDescent="0.25">
      <c r="A72" s="13" t="str">
        <f>J72&amp;" hours per student @ $"&amp;O71&amp;"/hour"</f>
        <v xml:space="preserve"> hours per student @ $0/hour</v>
      </c>
      <c r="B72" s="55">
        <f>J71*J72*O71</f>
        <v>0</v>
      </c>
      <c r="C72" s="55">
        <f>IF($J$5&gt;1,$J$71*K72*$O$71*(1+$O$5),0)</f>
        <v>0</v>
      </c>
      <c r="D72" s="55">
        <f>IF($J$5&gt;2,$J$71*L72*$O$71*(1+$O$5)^2,0)</f>
        <v>0</v>
      </c>
      <c r="E72" s="55">
        <f>IF($J$5&gt;3,$J$71*M72*$O$71*(1+$O$5)^3,0)</f>
        <v>0</v>
      </c>
      <c r="F72" s="55">
        <f>IF($J$5&gt;4,$J$71*N72*$O$71*(1+$O$5)^4,0)</f>
        <v>0</v>
      </c>
      <c r="G72" s="54">
        <f>SUM(B72:F72)</f>
        <v>0</v>
      </c>
      <c r="H72" s="14"/>
      <c r="I72" s="21" t="s">
        <v>56</v>
      </c>
      <c r="J72" s="27"/>
      <c r="K72" s="188">
        <f>IF($J$5&gt;1,J72,0)</f>
        <v>0</v>
      </c>
      <c r="L72" s="27">
        <f>IF($J$5&gt;2,K72,0)</f>
        <v>0</v>
      </c>
      <c r="M72" s="27">
        <f>IF($J$5&gt;3,L72,0)</f>
        <v>0</v>
      </c>
      <c r="N72" s="27">
        <f>IF($J$5&gt;4,M72,0)</f>
        <v>0</v>
      </c>
      <c r="O72" s="22"/>
      <c r="P72" s="154"/>
      <c r="Q72" s="154"/>
      <c r="V72" s="1"/>
    </row>
    <row r="73" spans="1:22" outlineLevel="2" x14ac:dyDescent="0.25">
      <c r="A73" s="13"/>
      <c r="B73" s="55"/>
      <c r="C73" s="55"/>
      <c r="D73" s="55"/>
      <c r="E73" s="55"/>
      <c r="F73" s="55"/>
      <c r="G73" s="54"/>
      <c r="H73" s="14"/>
      <c r="I73" s="4"/>
      <c r="J73" s="126"/>
      <c r="K73" s="126"/>
      <c r="L73" s="126"/>
      <c r="M73" s="126"/>
      <c r="N73" s="126"/>
      <c r="O73" s="51" t="s">
        <v>50</v>
      </c>
      <c r="P73" s="154"/>
      <c r="Q73" s="154"/>
      <c r="V73" s="1"/>
    </row>
    <row r="74" spans="1:22" outlineLevel="2" x14ac:dyDescent="0.25">
      <c r="A74" s="23" t="str">
        <f>"TBN, Student Worker ("&amp;J74&amp;")"</f>
        <v>TBN, Student Worker (0)</v>
      </c>
      <c r="B74" s="55"/>
      <c r="C74" s="55"/>
      <c r="D74" s="56"/>
      <c r="E74" s="56"/>
      <c r="F74" s="56"/>
      <c r="G74" s="54"/>
      <c r="H74" s="14"/>
      <c r="I74" s="4" t="s">
        <v>49</v>
      </c>
      <c r="J74" s="25">
        <v>0</v>
      </c>
      <c r="K74" s="126"/>
      <c r="L74" s="126"/>
      <c r="M74" s="126"/>
      <c r="N74" s="126"/>
      <c r="O74" s="108">
        <v>0</v>
      </c>
      <c r="P74" s="154"/>
      <c r="Q74" s="154"/>
      <c r="V74" s="1"/>
    </row>
    <row r="75" spans="1:22" outlineLevel="2" x14ac:dyDescent="0.25">
      <c r="A75" s="13" t="str">
        <f>J75&amp;" hours per student @ $"&amp;O74&amp;"/hour"</f>
        <v xml:space="preserve"> hours per student @ $0/hour</v>
      </c>
      <c r="B75" s="55">
        <f>J74*J75*O74</f>
        <v>0</v>
      </c>
      <c r="C75" s="55">
        <f>IF($J$5&gt;1,$J$74*K75*$O$74*(1+$O$5),0)</f>
        <v>0</v>
      </c>
      <c r="D75" s="55">
        <f>IF($J$5&gt;2,$J$74*L75*$O$74*(1+$O$5)^2,0)</f>
        <v>0</v>
      </c>
      <c r="E75" s="55">
        <f>IF($J$5&gt;3,$J$74*M75*$O$74*(1+$O$5)^3,0)</f>
        <v>0</v>
      </c>
      <c r="F75" s="55">
        <f>IF($J$5&gt;4,$J$74*N75*$O$74*(1+$O$5)^4,0)</f>
        <v>0</v>
      </c>
      <c r="G75" s="54">
        <f>SUM(B75:F75)</f>
        <v>0</v>
      </c>
      <c r="H75" s="14"/>
      <c r="I75" s="21" t="s">
        <v>56</v>
      </c>
      <c r="J75" s="27"/>
      <c r="K75" s="188">
        <f>IF($J$5&gt;1,J75,0)</f>
        <v>0</v>
      </c>
      <c r="L75" s="27">
        <f>IF($J$5&gt;2,K75,0)</f>
        <v>0</v>
      </c>
      <c r="M75" s="27">
        <f>IF($J$5&gt;3,L75,0)</f>
        <v>0</v>
      </c>
      <c r="N75" s="27">
        <f>IF($J$5&gt;4,M75,0)</f>
        <v>0</v>
      </c>
      <c r="O75" s="22"/>
      <c r="P75" s="154"/>
      <c r="Q75" s="154"/>
      <c r="V75" s="1"/>
    </row>
    <row r="76" spans="1:22" outlineLevel="1" x14ac:dyDescent="0.25">
      <c r="A76" s="113" t="s">
        <v>0</v>
      </c>
      <c r="B76" s="61">
        <f>ROUND(SUM(B8:B75),0)</f>
        <v>0</v>
      </c>
      <c r="C76" s="61">
        <f>ROUND(SUM(C8:C75),0)</f>
        <v>0</v>
      </c>
      <c r="D76" s="61">
        <f>ROUND(SUM(D8:D75),0)</f>
        <v>0</v>
      </c>
      <c r="E76" s="61">
        <f>ROUND(SUM(E8:E75),0)</f>
        <v>0</v>
      </c>
      <c r="F76" s="61">
        <f>ROUND(SUM(F8:F75),0)</f>
        <v>0</v>
      </c>
      <c r="G76" s="61">
        <f>SUM(B76:F76)</f>
        <v>0</v>
      </c>
      <c r="H76" s="28"/>
    </row>
    <row r="77" spans="1:22" outlineLevel="1" x14ac:dyDescent="0.25">
      <c r="B77" s="60"/>
      <c r="C77" s="60"/>
      <c r="D77" s="56"/>
      <c r="E77" s="56"/>
      <c r="F77" s="56"/>
      <c r="G77" s="54"/>
    </row>
    <row r="78" spans="1:22" outlineLevel="1" x14ac:dyDescent="0.25">
      <c r="A78" s="115" t="s">
        <v>4</v>
      </c>
      <c r="B78" s="60"/>
      <c r="C78" s="60"/>
      <c r="D78" s="56"/>
      <c r="E78" s="56"/>
      <c r="F78" s="56"/>
      <c r="G78" s="54"/>
    </row>
    <row r="79" spans="1:22" outlineLevel="1" x14ac:dyDescent="0.25">
      <c r="A79" s="104" t="str">
        <f>I79&amp;ROUND(J79*100,2)&amp;"%"</f>
        <v>Employees @ 0%</v>
      </c>
      <c r="B79" s="121">
        <f>SUM(B8:B40)*$J$79</f>
        <v>0</v>
      </c>
      <c r="C79" s="121">
        <f>SUM(C8:C40)*$J$79</f>
        <v>0</v>
      </c>
      <c r="D79" s="121">
        <f>SUM(D8:D40)*$J$79</f>
        <v>0</v>
      </c>
      <c r="E79" s="121">
        <f>SUM(E8:E40)*$J$79</f>
        <v>0</v>
      </c>
      <c r="F79" s="121">
        <f>SUM(F8:F40)*$J$79</f>
        <v>0</v>
      </c>
      <c r="G79" s="62">
        <f>SUM(B79:F79)</f>
        <v>0</v>
      </c>
      <c r="H79" s="3"/>
      <c r="I79" s="150" t="s">
        <v>146</v>
      </c>
      <c r="J79" s="149">
        <v>0</v>
      </c>
      <c r="K79" s="162"/>
      <c r="L79" s="162"/>
      <c r="M79" s="162"/>
      <c r="N79" s="162"/>
    </row>
    <row r="80" spans="1:22" outlineLevel="1" x14ac:dyDescent="0.25">
      <c r="A80" s="104" t="str">
        <f>I80&amp;ROUND(J80*100,2)&amp;"%"</f>
        <v>Post-docs @ 0%</v>
      </c>
      <c r="B80" s="121">
        <f>SUM(B45:B51)*$J$80</f>
        <v>0</v>
      </c>
      <c r="C80" s="121">
        <f>SUM(C45:C51)*$J$80</f>
        <v>0</v>
      </c>
      <c r="D80" s="121">
        <f>SUM(D45:D51)*$J$80</f>
        <v>0</v>
      </c>
      <c r="E80" s="121">
        <f>SUM(E45:E51)*$J$80</f>
        <v>0</v>
      </c>
      <c r="F80" s="121">
        <f>SUM(F45:F51)*$J$80</f>
        <v>0</v>
      </c>
      <c r="G80" s="62">
        <f>SUM(B80:F80)</f>
        <v>0</v>
      </c>
      <c r="H80" s="3"/>
      <c r="I80" s="150" t="s">
        <v>147</v>
      </c>
      <c r="J80" s="149">
        <v>0</v>
      </c>
      <c r="K80" s="162"/>
      <c r="L80" s="162"/>
      <c r="M80" s="162"/>
      <c r="N80" s="162"/>
    </row>
    <row r="81" spans="1:14" outlineLevel="1" x14ac:dyDescent="0.25">
      <c r="A81" s="104" t="str">
        <f>I81&amp;ROUND(J81*100,2)&amp;"%"</f>
        <v>Graduate Assistants @ 0%</v>
      </c>
      <c r="B81" s="121">
        <f>SUM(B54:B66)*$J$81</f>
        <v>0</v>
      </c>
      <c r="C81" s="121">
        <f>SUM(C54:C66)*$J$81</f>
        <v>0</v>
      </c>
      <c r="D81" s="121">
        <f>SUM(D54:D66)*$J$81</f>
        <v>0</v>
      </c>
      <c r="E81" s="121">
        <f>SUM(E54:E66)*$J$81</f>
        <v>0</v>
      </c>
      <c r="F81" s="121">
        <f>SUM(F54:F66)*$J$81</f>
        <v>0</v>
      </c>
      <c r="G81" s="62">
        <f>SUM(B81:F81)</f>
        <v>0</v>
      </c>
      <c r="H81" s="3"/>
      <c r="I81" s="150" t="s">
        <v>144</v>
      </c>
      <c r="J81" s="149">
        <v>0</v>
      </c>
      <c r="K81" s="162"/>
      <c r="L81" s="162"/>
      <c r="M81" s="162"/>
      <c r="N81" s="162"/>
    </row>
    <row r="82" spans="1:14" outlineLevel="1" x14ac:dyDescent="0.25">
      <c r="A82" s="104" t="str">
        <f>I82&amp;ROUND(J82*100,2)&amp;"%"</f>
        <v>Student Workers @0%</v>
      </c>
      <c r="B82" s="121">
        <f>SUM(B69:B75)*$J$82</f>
        <v>0</v>
      </c>
      <c r="C82" s="121">
        <f>SUM(C69:C75)*$J$82</f>
        <v>0</v>
      </c>
      <c r="D82" s="121">
        <f>SUM(D69:D75)*$J$82</f>
        <v>0</v>
      </c>
      <c r="E82" s="121">
        <f>SUM(E69:E75)*$J$82</f>
        <v>0</v>
      </c>
      <c r="F82" s="121">
        <f>SUM(F69:F75)*$J$82</f>
        <v>0</v>
      </c>
      <c r="G82" s="62">
        <f>SUM(B82:F82)</f>
        <v>0</v>
      </c>
      <c r="H82" s="3"/>
      <c r="I82" s="150" t="s">
        <v>140</v>
      </c>
      <c r="J82" s="149">
        <v>0</v>
      </c>
      <c r="K82" s="162"/>
      <c r="L82" s="162"/>
      <c r="M82" s="162"/>
      <c r="N82" s="162"/>
    </row>
    <row r="83" spans="1:14" outlineLevel="1" x14ac:dyDescent="0.25">
      <c r="A83" s="113" t="s">
        <v>1</v>
      </c>
      <c r="B83" s="63">
        <f>ROUND(SUM(B79:B82),0)</f>
        <v>0</v>
      </c>
      <c r="C83" s="63">
        <f>ROUND(SUM(C79:C82),0)</f>
        <v>0</v>
      </c>
      <c r="D83" s="63">
        <f>ROUND(SUM(D79:D82),0)</f>
        <v>0</v>
      </c>
      <c r="E83" s="63">
        <f>ROUND(SUM(E79:E82),0)</f>
        <v>0</v>
      </c>
      <c r="F83" s="63">
        <f>ROUND(SUM(F79:F82),0)</f>
        <v>0</v>
      </c>
      <c r="G83" s="64">
        <f>SUM(B83:F83)</f>
        <v>0</v>
      </c>
      <c r="H83" s="3"/>
    </row>
    <row r="84" spans="1:14" outlineLevel="1" x14ac:dyDescent="0.25">
      <c r="B84" s="56"/>
      <c r="C84" s="56"/>
      <c r="D84" s="56"/>
      <c r="E84" s="56"/>
      <c r="F84" s="56"/>
      <c r="G84" s="54"/>
    </row>
    <row r="85" spans="1:14" x14ac:dyDescent="0.25">
      <c r="A85" s="114" t="s">
        <v>95</v>
      </c>
      <c r="B85" s="65">
        <f>B76+B83</f>
        <v>0</v>
      </c>
      <c r="C85" s="65">
        <f>C76+C83</f>
        <v>0</v>
      </c>
      <c r="D85" s="65">
        <f>D76+D83</f>
        <v>0</v>
      </c>
      <c r="E85" s="65">
        <f>E76+E83</f>
        <v>0</v>
      </c>
      <c r="F85" s="65">
        <f>F76+F83</f>
        <v>0</v>
      </c>
      <c r="G85" s="66">
        <f>SUM(B85:F85)</f>
        <v>0</v>
      </c>
      <c r="H85" s="3"/>
    </row>
    <row r="86" spans="1:14" x14ac:dyDescent="0.25">
      <c r="A86" s="2"/>
      <c r="B86" s="67"/>
      <c r="C86" s="67"/>
      <c r="D86" s="67"/>
      <c r="E86" s="67"/>
      <c r="F86" s="67"/>
      <c r="G86" s="68"/>
      <c r="H86" s="29"/>
    </row>
    <row r="87" spans="1:14" x14ac:dyDescent="0.25">
      <c r="A87" s="112" t="s">
        <v>39</v>
      </c>
      <c r="B87" s="56"/>
      <c r="C87" s="56"/>
      <c r="D87" s="56"/>
      <c r="E87" s="56"/>
      <c r="F87" s="56"/>
      <c r="G87" s="54"/>
    </row>
    <row r="88" spans="1:14" outlineLevel="1" x14ac:dyDescent="0.25">
      <c r="A88" s="85" t="s">
        <v>41</v>
      </c>
      <c r="B88" s="69">
        <v>0</v>
      </c>
      <c r="C88" s="69">
        <v>0</v>
      </c>
      <c r="D88" s="69">
        <v>0</v>
      </c>
      <c r="E88" s="69">
        <v>0</v>
      </c>
      <c r="F88" s="69">
        <v>0</v>
      </c>
      <c r="G88" s="54">
        <f>SUM(B88:F88)</f>
        <v>0</v>
      </c>
      <c r="H88" s="14"/>
    </row>
    <row r="89" spans="1:14" outlineLevel="1" x14ac:dyDescent="0.25">
      <c r="A89" s="85" t="s">
        <v>42</v>
      </c>
      <c r="B89" s="69">
        <v>0</v>
      </c>
      <c r="C89" s="69">
        <v>0</v>
      </c>
      <c r="D89" s="69">
        <v>0</v>
      </c>
      <c r="E89" s="69">
        <v>0</v>
      </c>
      <c r="F89" s="69">
        <v>0</v>
      </c>
      <c r="G89" s="54">
        <f>SUM(B89:F89)</f>
        <v>0</v>
      </c>
      <c r="H89" s="14"/>
    </row>
    <row r="90" spans="1:14" outlineLevel="1" x14ac:dyDescent="0.25">
      <c r="A90" s="85" t="s">
        <v>43</v>
      </c>
      <c r="B90" s="69">
        <v>0</v>
      </c>
      <c r="C90" s="69">
        <v>0</v>
      </c>
      <c r="D90" s="69">
        <v>0</v>
      </c>
      <c r="E90" s="69">
        <v>0</v>
      </c>
      <c r="F90" s="69">
        <v>0</v>
      </c>
      <c r="G90" s="54">
        <f>SUM(B90:F90)</f>
        <v>0</v>
      </c>
      <c r="H90" s="14"/>
    </row>
    <row r="91" spans="1:14" x14ac:dyDescent="0.25">
      <c r="A91" s="113" t="s">
        <v>40</v>
      </c>
      <c r="B91" s="61">
        <f>ROUND(SUM(B88:B90),0)</f>
        <v>0</v>
      </c>
      <c r="C91" s="61">
        <f>ROUND(SUM(C88:C90),0)</f>
        <v>0</v>
      </c>
      <c r="D91" s="61">
        <f>ROUND(SUM(D88:D90),0)</f>
        <v>0</v>
      </c>
      <c r="E91" s="61">
        <f>ROUND(SUM(E88:E90),0)</f>
        <v>0</v>
      </c>
      <c r="F91" s="61">
        <f>ROUND(SUM(F88:F90),0)</f>
        <v>0</v>
      </c>
      <c r="G91" s="61">
        <f>SUM(B91:F91)</f>
        <v>0</v>
      </c>
      <c r="H91" s="28"/>
    </row>
    <row r="92" spans="1:14" x14ac:dyDescent="0.25">
      <c r="B92" s="60"/>
      <c r="C92" s="60"/>
      <c r="D92" s="56"/>
      <c r="E92" s="56"/>
      <c r="F92" s="56"/>
      <c r="G92" s="54"/>
    </row>
    <row r="93" spans="1:14" x14ac:dyDescent="0.25">
      <c r="A93" s="115" t="s">
        <v>11</v>
      </c>
      <c r="B93" s="68"/>
      <c r="C93" s="68"/>
      <c r="D93" s="68"/>
      <c r="E93" s="68"/>
      <c r="F93" s="68"/>
      <c r="G93" s="68"/>
      <c r="H93" s="29"/>
    </row>
    <row r="94" spans="1:14" outlineLevel="1" x14ac:dyDescent="0.25">
      <c r="A94" s="13" t="s">
        <v>98</v>
      </c>
      <c r="B94" s="165">
        <v>0</v>
      </c>
      <c r="C94" s="165">
        <v>0</v>
      </c>
      <c r="D94" s="165">
        <v>0</v>
      </c>
      <c r="E94" s="165">
        <v>0</v>
      </c>
      <c r="F94" s="165">
        <v>0</v>
      </c>
      <c r="G94" s="68">
        <f>SUM(B94:F94)</f>
        <v>0</v>
      </c>
      <c r="H94" s="29"/>
    </row>
    <row r="95" spans="1:14" outlineLevel="1" x14ac:dyDescent="0.25">
      <c r="A95" s="13" t="s">
        <v>99</v>
      </c>
      <c r="B95" s="165">
        <v>0</v>
      </c>
      <c r="C95" s="165">
        <v>0</v>
      </c>
      <c r="D95" s="165">
        <v>0</v>
      </c>
      <c r="E95" s="165">
        <v>0</v>
      </c>
      <c r="F95" s="165">
        <v>0</v>
      </c>
      <c r="G95" s="68">
        <f>SUM(B95:F95)</f>
        <v>0</v>
      </c>
      <c r="H95" s="29"/>
    </row>
    <row r="96" spans="1:14" x14ac:dyDescent="0.25">
      <c r="A96" s="113" t="s">
        <v>12</v>
      </c>
      <c r="B96" s="71">
        <f>ROUND(SUM(B94:B95),0)</f>
        <v>0</v>
      </c>
      <c r="C96" s="71">
        <f>ROUND(SUM(C94:C95),0)</f>
        <v>0</v>
      </c>
      <c r="D96" s="71">
        <f>ROUND(SUM(D94:D95),0)</f>
        <v>0</v>
      </c>
      <c r="E96" s="71">
        <f>ROUND(SUM(E94:E95),0)</f>
        <v>0</v>
      </c>
      <c r="F96" s="71">
        <f>ROUND(SUM(F94:F95),0)</f>
        <v>0</v>
      </c>
      <c r="G96" s="61">
        <f>SUM(B96:F96)</f>
        <v>0</v>
      </c>
      <c r="H96" s="28"/>
    </row>
    <row r="97" spans="1:22" x14ac:dyDescent="0.25">
      <c r="B97" s="56"/>
      <c r="C97" s="56"/>
      <c r="D97" s="56"/>
      <c r="E97" s="56"/>
      <c r="F97" s="56"/>
      <c r="G97" s="54"/>
    </row>
    <row r="98" spans="1:22" x14ac:dyDescent="0.25">
      <c r="A98" s="2" t="s">
        <v>44</v>
      </c>
      <c r="B98" s="56"/>
      <c r="C98" s="56"/>
      <c r="D98" s="56"/>
      <c r="E98" s="56"/>
      <c r="F98" s="56"/>
      <c r="G98" s="54"/>
    </row>
    <row r="99" spans="1:22" x14ac:dyDescent="0.25">
      <c r="A99" s="43" t="s">
        <v>44</v>
      </c>
      <c r="B99" s="74">
        <v>0</v>
      </c>
      <c r="C99" s="74">
        <v>0</v>
      </c>
      <c r="D99" s="74">
        <v>0</v>
      </c>
      <c r="E99" s="74">
        <v>0</v>
      </c>
      <c r="F99" s="74">
        <v>0</v>
      </c>
      <c r="G99" s="62">
        <f>SUM(B99:F99)</f>
        <v>0</v>
      </c>
    </row>
    <row r="100" spans="1:22" x14ac:dyDescent="0.25">
      <c r="A100" s="113" t="s">
        <v>155</v>
      </c>
      <c r="B100" s="71">
        <f>ROUND(SUM(B99),0)</f>
        <v>0</v>
      </c>
      <c r="C100" s="71">
        <f>ROUND(SUM(C99),0)</f>
        <v>0</v>
      </c>
      <c r="D100" s="71">
        <f>ROUND(SUM(D99),0)</f>
        <v>0</v>
      </c>
      <c r="E100" s="71">
        <f>ROUND(SUM(E99),0)</f>
        <v>0</v>
      </c>
      <c r="F100" s="71">
        <f>ROUND(SUM(F99),0)</f>
        <v>0</v>
      </c>
      <c r="G100" s="61">
        <f>SUM(B100:F100)</f>
        <v>0</v>
      </c>
      <c r="H100" s="28"/>
      <c r="P100" s="154"/>
      <c r="Q100" s="154"/>
      <c r="V100" s="1"/>
    </row>
    <row r="101" spans="1:22" x14ac:dyDescent="0.25">
      <c r="B101" s="56"/>
      <c r="C101" s="56"/>
      <c r="D101" s="56"/>
      <c r="E101" s="56"/>
      <c r="F101" s="56"/>
      <c r="G101" s="54"/>
    </row>
    <row r="102" spans="1:22" x14ac:dyDescent="0.25">
      <c r="A102" s="117" t="s">
        <v>33</v>
      </c>
      <c r="B102" s="67"/>
      <c r="C102" s="67"/>
      <c r="D102" s="56"/>
      <c r="E102" s="56"/>
      <c r="F102" s="56"/>
      <c r="G102" s="54"/>
    </row>
    <row r="103" spans="1:22" outlineLevel="1" x14ac:dyDescent="0.25">
      <c r="A103" s="43" t="s">
        <v>31</v>
      </c>
      <c r="B103" s="74">
        <f>SUM(J52,J57,J62)</f>
        <v>0</v>
      </c>
      <c r="C103" s="74">
        <f>SUM(K52,K57,K62)</f>
        <v>0</v>
      </c>
      <c r="D103" s="74">
        <f>SUM(L52,L57,L62)</f>
        <v>0</v>
      </c>
      <c r="E103" s="74">
        <f>SUM(M52,M57,M62)</f>
        <v>0</v>
      </c>
      <c r="F103" s="74">
        <f>SUM(N52,N57,N62)</f>
        <v>0</v>
      </c>
      <c r="G103" s="62">
        <f>SUM(B103:F103)</f>
        <v>0</v>
      </c>
    </row>
    <row r="104" spans="1:22" outlineLevel="1" x14ac:dyDescent="0.25">
      <c r="A104" s="43" t="s">
        <v>97</v>
      </c>
      <c r="B104" s="164">
        <v>0</v>
      </c>
      <c r="C104" s="164">
        <v>0</v>
      </c>
      <c r="D104" s="164">
        <v>0</v>
      </c>
      <c r="E104" s="164">
        <v>0</v>
      </c>
      <c r="F104" s="164">
        <v>0</v>
      </c>
      <c r="G104" s="62">
        <f>SUM(B104:F104)</f>
        <v>0</v>
      </c>
      <c r="H104" s="3"/>
    </row>
    <row r="105" spans="1:22" outlineLevel="1" x14ac:dyDescent="0.25">
      <c r="A105" s="43"/>
      <c r="B105" s="73"/>
      <c r="C105" s="73"/>
      <c r="D105" s="73"/>
      <c r="E105" s="73"/>
      <c r="F105" s="73"/>
      <c r="G105" s="62"/>
    </row>
    <row r="106" spans="1:22" outlineLevel="1" x14ac:dyDescent="0.25">
      <c r="A106" s="84" t="s">
        <v>88</v>
      </c>
      <c r="B106" s="69">
        <v>0</v>
      </c>
      <c r="C106" s="69">
        <v>0</v>
      </c>
      <c r="D106" s="69">
        <v>0</v>
      </c>
      <c r="E106" s="69">
        <v>0</v>
      </c>
      <c r="F106" s="69">
        <v>0</v>
      </c>
      <c r="G106" s="54">
        <f t="shared" ref="G106:G112" si="0">SUM(B106:F106)</f>
        <v>0</v>
      </c>
      <c r="H106" s="14"/>
    </row>
    <row r="107" spans="1:22" outlineLevel="1" x14ac:dyDescent="0.25">
      <c r="A107" s="84" t="s">
        <v>89</v>
      </c>
      <c r="B107" s="69">
        <v>0</v>
      </c>
      <c r="C107" s="69">
        <v>0</v>
      </c>
      <c r="D107" s="69">
        <v>0</v>
      </c>
      <c r="E107" s="69">
        <v>0</v>
      </c>
      <c r="F107" s="69">
        <v>0</v>
      </c>
      <c r="G107" s="54">
        <f t="shared" si="0"/>
        <v>0</v>
      </c>
      <c r="H107" s="14"/>
    </row>
    <row r="108" spans="1:22" outlineLevel="1" x14ac:dyDescent="0.25">
      <c r="A108" s="84" t="s">
        <v>90</v>
      </c>
      <c r="B108" s="69">
        <v>0</v>
      </c>
      <c r="C108" s="69">
        <v>0</v>
      </c>
      <c r="D108" s="69">
        <v>0</v>
      </c>
      <c r="E108" s="69">
        <v>0</v>
      </c>
      <c r="F108" s="69">
        <v>0</v>
      </c>
      <c r="G108" s="54">
        <f t="shared" si="0"/>
        <v>0</v>
      </c>
      <c r="H108" s="14"/>
    </row>
    <row r="109" spans="1:22" outlineLevel="1" x14ac:dyDescent="0.25">
      <c r="A109" s="84" t="s">
        <v>91</v>
      </c>
      <c r="B109" s="69">
        <v>0</v>
      </c>
      <c r="C109" s="69">
        <v>0</v>
      </c>
      <c r="D109" s="69">
        <v>0</v>
      </c>
      <c r="E109" s="69">
        <v>0</v>
      </c>
      <c r="F109" s="69">
        <v>0</v>
      </c>
      <c r="G109" s="54">
        <f t="shared" si="0"/>
        <v>0</v>
      </c>
      <c r="H109" s="14"/>
    </row>
    <row r="110" spans="1:22" outlineLevel="1" x14ac:dyDescent="0.25">
      <c r="A110" s="84" t="s">
        <v>102</v>
      </c>
      <c r="B110" s="69">
        <v>0</v>
      </c>
      <c r="C110" s="69">
        <v>0</v>
      </c>
      <c r="D110" s="69">
        <v>0</v>
      </c>
      <c r="E110" s="69">
        <v>0</v>
      </c>
      <c r="F110" s="69">
        <v>0</v>
      </c>
      <c r="G110" s="54">
        <f t="shared" si="0"/>
        <v>0</v>
      </c>
      <c r="H110" s="14"/>
    </row>
    <row r="111" spans="1:22" outlineLevel="1" x14ac:dyDescent="0.25">
      <c r="A111" s="186" t="s">
        <v>103</v>
      </c>
      <c r="B111" s="69">
        <v>0</v>
      </c>
      <c r="C111" s="69">
        <v>0</v>
      </c>
      <c r="D111" s="69">
        <v>0</v>
      </c>
      <c r="E111" s="69">
        <v>0</v>
      </c>
      <c r="F111" s="69">
        <v>0</v>
      </c>
      <c r="G111" s="54">
        <f t="shared" si="0"/>
        <v>0</v>
      </c>
      <c r="H111" s="14"/>
    </row>
    <row r="112" spans="1:22" outlineLevel="1" x14ac:dyDescent="0.25">
      <c r="A112" s="118" t="s">
        <v>87</v>
      </c>
      <c r="B112" s="58">
        <f>SUM(B106:B111)</f>
        <v>0</v>
      </c>
      <c r="C112" s="58">
        <f>SUM(C106:C111)</f>
        <v>0</v>
      </c>
      <c r="D112" s="58">
        <f>SUM(D106:D111)</f>
        <v>0</v>
      </c>
      <c r="E112" s="58">
        <f>SUM(E106:E111)</f>
        <v>0</v>
      </c>
      <c r="F112" s="58">
        <f>SUM(F106:F111)</f>
        <v>0</v>
      </c>
      <c r="G112" s="59">
        <f t="shared" si="0"/>
        <v>0</v>
      </c>
      <c r="H112" s="28"/>
    </row>
    <row r="113" spans="1:17" outlineLevel="1" x14ac:dyDescent="0.25">
      <c r="A113" s="44"/>
      <c r="B113" s="75"/>
      <c r="C113" s="75"/>
      <c r="D113" s="75"/>
      <c r="E113" s="75"/>
      <c r="F113" s="75"/>
      <c r="G113" s="75"/>
      <c r="H113" s="28"/>
    </row>
    <row r="114" spans="1:17" x14ac:dyDescent="0.25">
      <c r="A114" s="119" t="s">
        <v>38</v>
      </c>
      <c r="B114" s="71">
        <f>ROUND(SUM(B103:B104,B112),0)</f>
        <v>0</v>
      </c>
      <c r="C114" s="71">
        <f>ROUND(SUM(C103:C104,C112),0)</f>
        <v>0</v>
      </c>
      <c r="D114" s="71">
        <f>ROUND(SUM(D103:D104,D112),0)</f>
        <v>0</v>
      </c>
      <c r="E114" s="71">
        <f>ROUND(SUM(E103:E104,E112),0)</f>
        <v>0</v>
      </c>
      <c r="F114" s="71">
        <f>ROUND(SUM(F103:F104,F112),0)</f>
        <v>0</v>
      </c>
      <c r="G114" s="61">
        <f>SUM(B114:F114)</f>
        <v>0</v>
      </c>
      <c r="H114" s="28"/>
    </row>
    <row r="115" spans="1:17" x14ac:dyDescent="0.25">
      <c r="A115" s="45"/>
      <c r="B115" s="76"/>
      <c r="C115" s="76"/>
      <c r="D115" s="77"/>
      <c r="E115" s="77"/>
      <c r="F115" s="77"/>
      <c r="G115" s="62"/>
    </row>
    <row r="116" spans="1:17" x14ac:dyDescent="0.25">
      <c r="A116" s="120" t="s">
        <v>92</v>
      </c>
      <c r="B116" s="110">
        <f>B118-B107-B109-B111</f>
        <v>0</v>
      </c>
      <c r="C116" s="110">
        <f>C118-C107-C109-C111</f>
        <v>0</v>
      </c>
      <c r="D116" s="110">
        <f>D118-D107-D109-D111</f>
        <v>0</v>
      </c>
      <c r="E116" s="110">
        <f>E118-E107-E109-E111</f>
        <v>0</v>
      </c>
      <c r="F116" s="110">
        <f>F118-F107-F109-F111</f>
        <v>0</v>
      </c>
      <c r="G116" s="111">
        <f>SUM(B116:F116)</f>
        <v>0</v>
      </c>
    </row>
    <row r="117" spans="1:17" x14ac:dyDescent="0.25">
      <c r="A117" s="45"/>
      <c r="B117" s="76"/>
      <c r="C117" s="76"/>
      <c r="D117" s="77"/>
      <c r="E117" s="77"/>
      <c r="F117" s="77"/>
      <c r="G117" s="62"/>
    </row>
    <row r="118" spans="1:17" x14ac:dyDescent="0.25">
      <c r="A118" s="117" t="s">
        <v>2</v>
      </c>
      <c r="B118" s="78">
        <f>SUM(B85,B91,B96,B100,B114)</f>
        <v>0</v>
      </c>
      <c r="C118" s="78">
        <f>SUM(C85,C91,C96,C100,C114)</f>
        <v>0</v>
      </c>
      <c r="D118" s="78">
        <f>SUM(D85,D91,D96,D100,D114)</f>
        <v>0</v>
      </c>
      <c r="E118" s="78">
        <f>SUM(E85,E91,E96,E100,E114)</f>
        <v>0</v>
      </c>
      <c r="F118" s="78">
        <f>SUM(F85,F91,F96,F100,F114)</f>
        <v>0</v>
      </c>
      <c r="G118" s="62">
        <f t="shared" ref="G118:G123" si="1">SUM(B118:F118)</f>
        <v>0</v>
      </c>
      <c r="H118" s="3"/>
    </row>
    <row r="119" spans="1:17" x14ac:dyDescent="0.25">
      <c r="A119" s="43" t="s">
        <v>45</v>
      </c>
      <c r="B119" s="93">
        <f>-B91</f>
        <v>0</v>
      </c>
      <c r="C119" s="93">
        <f>-C91</f>
        <v>0</v>
      </c>
      <c r="D119" s="93">
        <f>-D91</f>
        <v>0</v>
      </c>
      <c r="E119" s="93">
        <f>-E91</f>
        <v>0</v>
      </c>
      <c r="F119" s="93">
        <f>-F91</f>
        <v>0</v>
      </c>
      <c r="G119" s="62">
        <f t="shared" si="1"/>
        <v>0</v>
      </c>
      <c r="H119" s="3"/>
    </row>
    <row r="120" spans="1:17" x14ac:dyDescent="0.25">
      <c r="A120" s="104" t="s">
        <v>32</v>
      </c>
      <c r="B120" s="93">
        <f>-B103</f>
        <v>0</v>
      </c>
      <c r="C120" s="93">
        <f>-C103</f>
        <v>0</v>
      </c>
      <c r="D120" s="93">
        <f>-D103</f>
        <v>0</v>
      </c>
      <c r="E120" s="78">
        <f>-E103</f>
        <v>0</v>
      </c>
      <c r="F120" s="78">
        <f>-F103</f>
        <v>0</v>
      </c>
      <c r="G120" s="62">
        <f t="shared" si="1"/>
        <v>0</v>
      </c>
      <c r="H120" s="3"/>
    </row>
    <row r="121" spans="1:17" x14ac:dyDescent="0.25">
      <c r="A121" s="104" t="s">
        <v>47</v>
      </c>
      <c r="B121" s="109">
        <f>-B100</f>
        <v>0</v>
      </c>
      <c r="C121" s="109">
        <f>-C100</f>
        <v>0</v>
      </c>
      <c r="D121" s="109">
        <f>-D100</f>
        <v>0</v>
      </c>
      <c r="E121" s="109">
        <f>-E100</f>
        <v>0</v>
      </c>
      <c r="F121" s="109">
        <f>-F100</f>
        <v>0</v>
      </c>
      <c r="G121" s="62">
        <f t="shared" si="1"/>
        <v>0</v>
      </c>
      <c r="H121" s="3"/>
    </row>
    <row r="122" spans="1:17" x14ac:dyDescent="0.25">
      <c r="A122" s="104" t="s">
        <v>46</v>
      </c>
      <c r="B122" s="79">
        <v>0</v>
      </c>
      <c r="C122" s="79">
        <v>0</v>
      </c>
      <c r="D122" s="79">
        <v>0</v>
      </c>
      <c r="E122" s="79">
        <v>0</v>
      </c>
      <c r="F122" s="79">
        <v>0</v>
      </c>
      <c r="G122" s="54">
        <f t="shared" si="1"/>
        <v>0</v>
      </c>
      <c r="H122" s="3"/>
    </row>
    <row r="123" spans="1:17" x14ac:dyDescent="0.25">
      <c r="A123" s="113" t="s">
        <v>13</v>
      </c>
      <c r="B123" s="61">
        <f>ROUND(SUM(B118:B122),0)</f>
        <v>0</v>
      </c>
      <c r="C123" s="61">
        <f>ROUND(SUM(C118:C122),0)</f>
        <v>0</v>
      </c>
      <c r="D123" s="61">
        <f>ROUND(SUM(D118:D122),0)</f>
        <v>0</v>
      </c>
      <c r="E123" s="61">
        <f>ROUND(SUM(E118:E122),0)</f>
        <v>0</v>
      </c>
      <c r="F123" s="61">
        <f>ROUND(SUM(F118:F122),0)</f>
        <v>0</v>
      </c>
      <c r="G123" s="59">
        <f t="shared" si="1"/>
        <v>0</v>
      </c>
      <c r="H123" s="3"/>
    </row>
    <row r="124" spans="1:17" ht="15" customHeight="1" x14ac:dyDescent="0.25">
      <c r="A124" s="30"/>
      <c r="B124" s="80"/>
      <c r="C124" s="80"/>
      <c r="D124" s="56"/>
      <c r="E124" s="56"/>
      <c r="F124" s="56"/>
      <c r="G124" s="54"/>
    </row>
    <row r="125" spans="1:17" x14ac:dyDescent="0.25">
      <c r="A125" s="115" t="s">
        <v>30</v>
      </c>
      <c r="B125" s="80"/>
      <c r="C125" s="80"/>
      <c r="D125" s="56"/>
      <c r="E125" s="56"/>
      <c r="F125" s="56"/>
      <c r="G125" s="54"/>
      <c r="I125" s="161" t="s">
        <v>119</v>
      </c>
      <c r="J125" s="151" t="s">
        <v>121</v>
      </c>
      <c r="P125" s="161" t="s">
        <v>130</v>
      </c>
      <c r="Q125" s="161" t="s">
        <v>129</v>
      </c>
    </row>
    <row r="126" spans="1:17" x14ac:dyDescent="0.25">
      <c r="A126" s="104" t="str">
        <f>IF(J126="TC","F&amp;A Costs @ "&amp;ROUND(I126/(1-I126),4)*100&amp;"% TDC or " &amp;I126*100&amp;"% TC", "F&amp;A Costs @ "&amp;I126*100&amp;"% "&amp;J126)</f>
        <v>F&amp;A Costs @ 0% MTDC</v>
      </c>
      <c r="B126" s="56">
        <f>IF($J$126="MTDC",(B123*$I$126),IF($J$126="TDC",(B118*$I$126),IF($J$126="TC",(B118*($I$126/(1-$I$126))))))</f>
        <v>0</v>
      </c>
      <c r="C126" s="56">
        <f>IF($J$126="MTDC",(C123*$I$126),IF($J$126="TDC",(C118*$I$126),IF($J$126="TC",(C118*($I$126/(1-$I$126))))))</f>
        <v>0</v>
      </c>
      <c r="D126" s="56">
        <f>IF($J$126="MTDC",(D123*$I$126),IF($J$126="TDC",(D118*$I$126),IF($J$126="TC",(D118*($I$126/(1-$I$126))))))</f>
        <v>0</v>
      </c>
      <c r="E126" s="56">
        <f>IF($J$126="MTDC",(E123*$I$126),IF($J$126="TDC",(E118*$I$126),IF($J$126="TC",(E118*($I$126/(1-$I$126))))))</f>
        <v>0</v>
      </c>
      <c r="F126" s="56">
        <f>IF($J$126="MTDC",(F123*$I$126),IF($J$126="TDC",(F118*$I$126),IF($J$126="TC",(F118*($I$126/(1-$I$126))))))</f>
        <v>0</v>
      </c>
      <c r="G126" s="54">
        <f>SUM(B126:F126)</f>
        <v>0</v>
      </c>
      <c r="H126" s="3"/>
      <c r="I126" s="149">
        <v>0</v>
      </c>
      <c r="J126" s="150" t="s">
        <v>120</v>
      </c>
      <c r="P126" s="158"/>
      <c r="Q126" s="154" t="s">
        <v>120</v>
      </c>
    </row>
    <row r="127" spans="1:17" x14ac:dyDescent="0.25">
      <c r="A127" s="113" t="s">
        <v>53</v>
      </c>
      <c r="B127" s="61">
        <f>ROUND(SUM(B126:B126),0)</f>
        <v>0</v>
      </c>
      <c r="C127" s="61">
        <f>ROUND(SUM(C126:C126),0)</f>
        <v>0</v>
      </c>
      <c r="D127" s="61">
        <f>ROUND(SUM(D126:D126),0)</f>
        <v>0</v>
      </c>
      <c r="E127" s="61">
        <f>ROUND(SUM(E126:E126),0)</f>
        <v>0</v>
      </c>
      <c r="F127" s="61">
        <f>ROUND(SUM(F126:F126),0)</f>
        <v>0</v>
      </c>
      <c r="G127" s="59">
        <f>SUM(B127:F127)</f>
        <v>0</v>
      </c>
      <c r="H127" s="3"/>
      <c r="P127" s="154"/>
      <c r="Q127" s="154" t="s">
        <v>131</v>
      </c>
    </row>
    <row r="128" spans="1:17" x14ac:dyDescent="0.25">
      <c r="A128" s="13"/>
      <c r="B128" s="56"/>
      <c r="C128" s="56"/>
      <c r="D128" s="56"/>
      <c r="E128" s="56"/>
      <c r="F128" s="56"/>
      <c r="G128" s="54"/>
      <c r="I128" s="160"/>
      <c r="P128" s="154"/>
      <c r="Q128" s="154" t="s">
        <v>132</v>
      </c>
    </row>
    <row r="129" spans="1:8" x14ac:dyDescent="0.25">
      <c r="A129" s="114" t="s">
        <v>96</v>
      </c>
      <c r="B129" s="66">
        <f>B118+B127</f>
        <v>0</v>
      </c>
      <c r="C129" s="66">
        <f>C118+C127</f>
        <v>0</v>
      </c>
      <c r="D129" s="66">
        <f>D118+D127</f>
        <v>0</v>
      </c>
      <c r="E129" s="66">
        <f>E118+E127</f>
        <v>0</v>
      </c>
      <c r="F129" s="66">
        <f>F118+F127</f>
        <v>0</v>
      </c>
      <c r="G129" s="66">
        <f>SUM(B129:F129)</f>
        <v>0</v>
      </c>
      <c r="H129" s="3"/>
    </row>
    <row r="130" spans="1:8" ht="16.5" thickBot="1" x14ac:dyDescent="0.3"/>
    <row r="131" spans="1:8" ht="45" customHeight="1" thickBot="1" x14ac:dyDescent="0.3">
      <c r="A131" s="459" t="s">
        <v>57</v>
      </c>
      <c r="B131" s="460"/>
      <c r="C131" s="460"/>
      <c r="D131" s="460"/>
      <c r="E131" s="460"/>
      <c r="F131" s="460"/>
      <c r="G131" s="461"/>
    </row>
    <row r="134" spans="1:8" x14ac:dyDescent="0.25">
      <c r="A134" s="31"/>
    </row>
  </sheetData>
  <sheetProtection formatCells="0" formatColumns="0" formatRows="0" insertRows="0" deleteColumns="0" deleteRows="0" selectLockedCells="1" sort="0"/>
  <mergeCells count="13">
    <mergeCell ref="I1:O1"/>
    <mergeCell ref="A2:G2"/>
    <mergeCell ref="A131:G131"/>
    <mergeCell ref="A9:A10"/>
    <mergeCell ref="A15:A16"/>
    <mergeCell ref="A21:A22"/>
    <mergeCell ref="A27:A28"/>
    <mergeCell ref="A33:A34"/>
    <mergeCell ref="A39:A40"/>
    <mergeCell ref="A55:A56"/>
    <mergeCell ref="A60:A61"/>
    <mergeCell ref="A65:A66"/>
    <mergeCell ref="A4:G4"/>
  </mergeCells>
  <dataValidations count="2">
    <dataValidation type="list" allowBlank="1" showInputMessage="1" showErrorMessage="1" sqref="U11 U17 U23 U29 U35 U41 U58 U53 U63" xr:uid="{00000000-0002-0000-0700-000000000000}">
      <formula1>$R$3:$R$4</formula1>
    </dataValidation>
    <dataValidation type="list" allowBlank="1" showInputMessage="1" showErrorMessage="1" sqref="J126" xr:uid="{00000000-0002-0000-0700-000001000000}">
      <formula1>$Q$126:$Q$128</formula1>
    </dataValidation>
  </dataValidations>
  <printOptions horizontalCentered="1"/>
  <pageMargins left="0.5" right="0.5" top="0.5" bottom="0.5" header="0.25" footer="0.25"/>
  <pageSetup scale="34" orientation="portrait"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134"/>
  <sheetViews>
    <sheetView zoomScale="80" zoomScaleNormal="80" workbookViewId="0">
      <pane ySplit="5" topLeftCell="A6" activePane="bottomLeft" state="frozen"/>
      <selection activeCell="O39" sqref="O39"/>
      <selection pane="bottomLeft"/>
    </sheetView>
  </sheetViews>
  <sheetFormatPr defaultColWidth="8.7109375" defaultRowHeight="15.75" outlineLevelRow="1" x14ac:dyDescent="0.25"/>
  <cols>
    <col min="1" max="1" width="55.7109375" style="1" customWidth="1"/>
    <col min="2" max="6" width="13.7109375" style="1" customWidth="1"/>
    <col min="7" max="7" width="14.7109375" style="2" customWidth="1"/>
    <col min="8" max="8" width="2.7109375" style="2" customWidth="1"/>
    <col min="9" max="9" width="33" style="1" customWidth="1"/>
    <col min="10" max="14" width="11.7109375" style="1" customWidth="1"/>
    <col min="15" max="15" width="14.42578125" style="1" bestFit="1" customWidth="1"/>
    <col min="16" max="16" width="6.28515625" style="1" hidden="1" customWidth="1"/>
    <col min="17" max="17" width="8.7109375" style="1" hidden="1" customWidth="1"/>
    <col min="18" max="18" width="8.7109375" style="92" hidden="1" customWidth="1"/>
    <col min="19" max="19" width="3.42578125" style="92" customWidth="1"/>
    <col min="20" max="20" width="28.42578125" style="92" bestFit="1" customWidth="1"/>
    <col min="21" max="21" width="12.7109375" style="1" customWidth="1"/>
    <col min="22" max="22" width="12" style="1" bestFit="1" customWidth="1"/>
    <col min="23" max="16384" width="8.7109375" style="1"/>
  </cols>
  <sheetData>
    <row r="1" spans="1:23" s="2" customFormat="1" ht="40.35" customHeight="1" x14ac:dyDescent="0.3">
      <c r="A1" s="47"/>
      <c r="B1" s="1"/>
      <c r="G1" s="3"/>
      <c r="I1" s="488" t="s">
        <v>18</v>
      </c>
      <c r="J1" s="489"/>
      <c r="K1" s="489"/>
      <c r="L1" s="489"/>
      <c r="M1" s="489"/>
      <c r="N1" s="489"/>
      <c r="O1" s="490"/>
      <c r="U1" s="5"/>
      <c r="V1" s="5"/>
    </row>
    <row r="2" spans="1:23" s="2" customFormat="1" x14ac:dyDescent="0.25">
      <c r="A2" s="480" t="s">
        <v>105</v>
      </c>
      <c r="B2" s="480"/>
      <c r="C2" s="480"/>
      <c r="D2" s="480"/>
      <c r="E2" s="480"/>
      <c r="F2" s="480"/>
      <c r="G2" s="480"/>
      <c r="I2" s="38"/>
      <c r="J2" s="50" t="s">
        <v>28</v>
      </c>
      <c r="K2" s="50"/>
      <c r="L2" s="50"/>
      <c r="M2" s="50"/>
      <c r="N2" s="50"/>
      <c r="O2" s="51" t="s">
        <v>29</v>
      </c>
      <c r="P2" s="1">
        <f>IF(MONTH(J3)&gt;6, 12+7-MONTH(J3), 7-MONTH(J3))</f>
        <v>12</v>
      </c>
      <c r="R2" s="2" t="s">
        <v>125</v>
      </c>
      <c r="T2" s="161" t="s">
        <v>152</v>
      </c>
      <c r="U2" s="163">
        <f>Budget!U1</f>
        <v>0</v>
      </c>
    </row>
    <row r="3" spans="1:23" x14ac:dyDescent="0.25">
      <c r="A3" s="115" t="str">
        <f>"Period of Performance: "&amp;TEXT(J3, "mm/dd/yy")&amp;" - "&amp;TEXT(O3, "mm/dd/yy")&amp;" ["&amp;ROUND(J5,2)&amp; " Year(s)]"</f>
        <v>Period of Performance: 07/01/24 - 01/00/00 [124.5 Year(s)]</v>
      </c>
      <c r="B3" s="116"/>
      <c r="C3" s="116"/>
      <c r="D3" s="116"/>
      <c r="E3" s="116"/>
      <c r="F3" s="116"/>
      <c r="G3" s="115"/>
      <c r="I3" s="53" t="s">
        <v>52</v>
      </c>
      <c r="J3" s="39">
        <f>Budget!J4</f>
        <v>45474</v>
      </c>
      <c r="K3" s="39"/>
      <c r="L3" s="39"/>
      <c r="M3" s="39"/>
      <c r="N3" s="39"/>
      <c r="O3" s="40">
        <f>Budget!O4</f>
        <v>0</v>
      </c>
      <c r="P3" s="1">
        <f>IF(DAY(J3)&gt;1,(P2-1+((DAY(DATE(YEAR(J3),MONTH(J3)+1,0))-DAY(J3))/DAY(DATE(YEAR(J3),MONTH(J3)+1,0)))),P2)</f>
        <v>12</v>
      </c>
      <c r="R3" s="1" t="s">
        <v>123</v>
      </c>
      <c r="S3" s="1"/>
      <c r="T3" s="161" t="s">
        <v>148</v>
      </c>
      <c r="U3" s="252"/>
      <c r="V3" s="253"/>
      <c r="W3" s="184" t="s">
        <v>161</v>
      </c>
    </row>
    <row r="4" spans="1:23" x14ac:dyDescent="0.25">
      <c r="A4" s="491" t="s">
        <v>150</v>
      </c>
      <c r="B4" s="491"/>
      <c r="C4" s="491"/>
      <c r="D4" s="491"/>
      <c r="E4" s="491"/>
      <c r="F4" s="491"/>
      <c r="G4" s="491"/>
      <c r="I4" s="9"/>
      <c r="J4" s="5" t="s">
        <v>80</v>
      </c>
      <c r="K4" s="5"/>
      <c r="L4" s="5"/>
      <c r="M4" s="5"/>
      <c r="N4" s="5"/>
      <c r="O4" s="49" t="s">
        <v>14</v>
      </c>
      <c r="P4" s="1">
        <f>IF(O3-J3&lt;366, P3/((YEAR(O3)-YEAR(J3))*12+MONTH(O3)-MONTH(J3)+1),0)</f>
        <v>-8.0375083724045539E-3</v>
      </c>
      <c r="R4" s="1" t="s">
        <v>124</v>
      </c>
      <c r="S4" s="1"/>
      <c r="T4" s="5" t="s">
        <v>81</v>
      </c>
      <c r="U4" s="5" t="s">
        <v>82</v>
      </c>
      <c r="V4" s="5" t="s">
        <v>86</v>
      </c>
    </row>
    <row r="5" spans="1:23" s="5" customFormat="1" x14ac:dyDescent="0.25">
      <c r="B5" s="6" t="s">
        <v>6</v>
      </c>
      <c r="C5" s="7" t="s">
        <v>5</v>
      </c>
      <c r="D5" s="7" t="s">
        <v>7</v>
      </c>
      <c r="E5" s="7" t="s">
        <v>8</v>
      </c>
      <c r="F5" s="7" t="s">
        <v>9</v>
      </c>
      <c r="G5" s="7" t="s">
        <v>10</v>
      </c>
      <c r="I5" s="8"/>
      <c r="J5" s="52">
        <f>YEARFRAC(J3, O3)</f>
        <v>124.50277777777778</v>
      </c>
      <c r="K5" s="52"/>
      <c r="L5" s="52"/>
      <c r="M5" s="52"/>
      <c r="N5" s="52"/>
      <c r="O5" s="41">
        <v>0</v>
      </c>
      <c r="T5" s="5" t="s">
        <v>51</v>
      </c>
      <c r="U5" s="5" t="s">
        <v>83</v>
      </c>
      <c r="V5" s="5" t="s">
        <v>122</v>
      </c>
    </row>
    <row r="6" spans="1:23" s="2" customFormat="1" x14ac:dyDescent="0.25">
      <c r="A6" s="115" t="s">
        <v>3</v>
      </c>
      <c r="B6" s="54"/>
      <c r="C6" s="54"/>
      <c r="D6" s="54"/>
      <c r="E6" s="54"/>
      <c r="F6" s="54"/>
      <c r="G6" s="54"/>
      <c r="I6" s="9"/>
      <c r="J6" s="5" t="s">
        <v>6</v>
      </c>
      <c r="K6" s="5" t="s">
        <v>5</v>
      </c>
      <c r="L6" s="5" t="s">
        <v>7</v>
      </c>
      <c r="M6" s="5" t="s">
        <v>8</v>
      </c>
      <c r="N6" s="5" t="s">
        <v>9</v>
      </c>
      <c r="O6" s="10"/>
      <c r="T6" s="89"/>
      <c r="U6" s="5"/>
      <c r="V6" s="5"/>
    </row>
    <row r="7" spans="1:23" outlineLevel="1" x14ac:dyDescent="0.25">
      <c r="A7" s="23" t="s">
        <v>84</v>
      </c>
      <c r="B7" s="55"/>
      <c r="C7" s="56"/>
      <c r="D7" s="56"/>
      <c r="E7" s="56"/>
      <c r="F7" s="56"/>
      <c r="G7" s="54"/>
      <c r="I7" s="106" t="s">
        <v>128</v>
      </c>
      <c r="J7" s="5">
        <f>IF(U11="F",J8*12,SUM(J9*9,J10))</f>
        <v>0</v>
      </c>
      <c r="K7" s="5">
        <f>IF(U11="F",K8*12,SUM(K9*9,K10))</f>
        <v>0</v>
      </c>
      <c r="L7" s="5">
        <f>IF(U11="F",L8*12,SUM(L9*9,L10))</f>
        <v>0</v>
      </c>
      <c r="M7" s="5">
        <f>IF(U11="F",M8*12,SUM(M9*9,M10))</f>
        <v>0</v>
      </c>
      <c r="N7" s="5">
        <f>IF(U11="F",N8*12,SUM(N9*9,N10))</f>
        <v>0</v>
      </c>
      <c r="O7" s="49" t="s">
        <v>51</v>
      </c>
      <c r="P7" s="153" t="s">
        <v>126</v>
      </c>
      <c r="Q7" s="153" t="s">
        <v>127</v>
      </c>
      <c r="R7" s="11"/>
      <c r="S7" s="12"/>
      <c r="T7" s="90"/>
      <c r="U7" s="92"/>
      <c r="V7" s="92"/>
    </row>
    <row r="8" spans="1:23" outlineLevel="1" x14ac:dyDescent="0.25">
      <c r="A8" s="13" t="str">
        <f>ROUND(P8*100, 2)&amp;"% Avg. Fiscal Effort, "&amp;ROUND(Q8, 2)&amp;" Avg. Calendar Months"</f>
        <v>0% Avg. Fiscal Effort, 0 Avg. Calendar Months</v>
      </c>
      <c r="B8" s="55">
        <f>O8*J8</f>
        <v>0</v>
      </c>
      <c r="C8" s="55">
        <f>IF($J$5&gt;1,IF($U$2&lt;&gt;0,IF(O8*(1+$O$5)&lt;=$U$2,O8*K8*(1+$O$5),$U$2*K8),O8*K8*(1+$O$5)),0)</f>
        <v>0</v>
      </c>
      <c r="D8" s="55">
        <f>IF($J$5&gt;2,IF($U$2&lt;&gt;0,IF(O8*(1+$O$5)^2&lt;=$U$2,O8*L8*(1+$O$5)^2,$U$2*L8),O8*L8*(1+$O$5)^2),0)</f>
        <v>0</v>
      </c>
      <c r="E8" s="55">
        <f>IF($J$5&gt;3,IF($U$2&lt;&gt;0,IF(O8*(1+$O$5)^3&lt;=$U$2,O8*M8*(1+$O$5)^3,$U$2*M8),O8*M8*(1+$O$5)^3),0)</f>
        <v>0</v>
      </c>
      <c r="F8" s="55">
        <f>IF($J$5&gt;4,IF($U$2&lt;&gt;0,IF(O8*(1+$O$5)^4&lt;=$U$2,O8*N8*(1+$O$5)^4,$U$2*N8),O8*N8*(1+$O$5)^4),0)</f>
        <v>0</v>
      </c>
      <c r="G8" s="54">
        <f>SUM(B8:F8)</f>
        <v>0</v>
      </c>
      <c r="H8" s="14"/>
      <c r="I8" s="106" t="s">
        <v>26</v>
      </c>
      <c r="J8" s="17">
        <v>0</v>
      </c>
      <c r="K8" s="17">
        <f>IF($J$5&gt;1,J8,0)</f>
        <v>0</v>
      </c>
      <c r="L8" s="17">
        <f>IF($J$5&gt;2,K8,0)</f>
        <v>0</v>
      </c>
      <c r="M8" s="17">
        <f>IF($J$5&gt;3,L8,0)</f>
        <v>0</v>
      </c>
      <c r="N8" s="17">
        <f>IF($J$5&gt;4,M8,0)</f>
        <v>0</v>
      </c>
      <c r="O8" s="145">
        <f>IF(U11="F",IF($U$2&lt;&gt;0,IF(T11&gt;$U$2,$U$2,T11),T11),0)</f>
        <v>0</v>
      </c>
      <c r="P8" s="154">
        <f>SUM(J7:N7)/(ROUNDUP($J$5,0)*12)</f>
        <v>0</v>
      </c>
      <c r="Q8" s="155">
        <f>(SUM(J7:N7)/(CEILING($J$5*12,12)))*12</f>
        <v>0</v>
      </c>
      <c r="R8" s="1"/>
      <c r="S8" s="1"/>
      <c r="T8" s="90"/>
      <c r="U8" s="92"/>
      <c r="V8" s="92"/>
    </row>
    <row r="9" spans="1:23" outlineLevel="1" x14ac:dyDescent="0.25">
      <c r="A9" s="481" t="str">
        <f>ROUND(P8*100,2)&amp;"% Annualized Effort, "&amp;ROUND(Q9,2)&amp;" Avg. Academic Months
"&amp;IF(SUM(J10:N10)&gt;0," and "&amp;Q10 &amp;" Avg. Summer Months", "")</f>
        <v xml:space="preserve">0% Annualized Effort, 0 Avg. Academic Months
</v>
      </c>
      <c r="B9" s="55">
        <f>J9*O9</f>
        <v>0</v>
      </c>
      <c r="C9" s="55">
        <f>IF($J$5&gt;1,IF($U$2&lt;&gt;0,IF(O9*(1+$O$5)&lt;=$U$2*0.75,O9*K9*(1+$O$5),$U$2*0.75*K9),O9*K9*(1+$O$5)),0)</f>
        <v>0</v>
      </c>
      <c r="D9" s="55">
        <f>IF($J$5&gt;2,IF($U$2&lt;&gt;0,IF(O9*(1+$O$5)^2&lt;=$U$2*0.75,O9*L9*(1+$O$5)^2,$U$2*0.75*L9),O9*L9*(1+$O$5)^2),0)</f>
        <v>0</v>
      </c>
      <c r="E9" s="55">
        <f>IF($J$5&gt;3,IF($U$2&lt;&gt;0,IF(O9*(1+$O$5)^3&lt;=$U$2*0.75,O9*M9*(1+$O$5)^3,$U$2*0.75*M9),O9*M9*(1+$O$5)^3),0)</f>
        <v>0</v>
      </c>
      <c r="F9" s="55">
        <f>IF($J$5&gt;4,IF($U$2&lt;&gt;0,IF(O9*(1+$O$5)^4&lt;=$U$2*0.75,O9*N9*(1+$O$5)^4,$U$2*0.75*N9),O9*N9*(1+$O$5)^4),0)</f>
        <v>0</v>
      </c>
      <c r="G9" s="54">
        <f>SUM(B9:F9)</f>
        <v>0</v>
      </c>
      <c r="H9" s="14"/>
      <c r="I9" s="106" t="s">
        <v>15</v>
      </c>
      <c r="J9" s="17">
        <v>0</v>
      </c>
      <c r="K9" s="17">
        <f>IF($J$5&gt;1,J9,0)</f>
        <v>0</v>
      </c>
      <c r="L9" s="17">
        <f>IF($J$5&gt;2,K9,0)</f>
        <v>0</v>
      </c>
      <c r="M9" s="17">
        <f>IF($J$5&gt;3,L9,0)</f>
        <v>0</v>
      </c>
      <c r="N9" s="17">
        <f>IF($J$5&gt;4,M9,0)</f>
        <v>0</v>
      </c>
      <c r="O9" s="145">
        <f>IF(U11="A",IF($U$2&lt;&gt;0,IF(T11&gt;($U$2/12*9),($U$2/12*9),T11),T11),0)</f>
        <v>0</v>
      </c>
      <c r="P9" s="166"/>
      <c r="Q9" s="156">
        <f>((SUM(J7:N7)-SUM(J10:N10))/(CEILING($J$5*9,9)))*9</f>
        <v>0</v>
      </c>
      <c r="R9" s="12"/>
      <c r="S9" s="12"/>
      <c r="T9" s="90"/>
      <c r="U9" s="92"/>
      <c r="V9" s="92"/>
    </row>
    <row r="10" spans="1:23" outlineLevel="1" x14ac:dyDescent="0.25">
      <c r="A10" s="481"/>
      <c r="B10" s="55">
        <f>J10/3*O10</f>
        <v>0</v>
      </c>
      <c r="C10" s="55">
        <f>IF($J$5&gt;1,IF($U$2&lt;&gt;0,IF(O10*(1+$O$5)&lt;=$U$2*0.25,O10*K10/3*(1+$O$5),$U$2*0.25*K10/3),O10*K10/3*(1+$O$5)),0)</f>
        <v>0</v>
      </c>
      <c r="D10" s="55">
        <f>IF($J$5&gt;2,IF($U$2&lt;&gt;0,IF(O10*(1+$O$5)^2&lt;=$U$2*0.25,O10*L10/3*(1+$O$5)^2,$U$2*0.25*L10/3),O10*L10/3*(1+$O$5)^2),0)</f>
        <v>0</v>
      </c>
      <c r="E10" s="55">
        <f>IF($J$5&gt;3,IF($U$2&lt;&gt;0,IF(O10*(1+$O$5)^3&lt;=$U$2*0.25,O10*M10/3*(1+$O$5)^3,$U$2*0.25*M10/3),O10*M10/3*(1+$O$5)^3),0)</f>
        <v>0</v>
      </c>
      <c r="F10" s="55">
        <f>IF($J$5&gt;4,IF($U$2&lt;&gt;0,IF(O10*(1+$O$5)^4&lt;=$U$2*0.25,O10*N10/3*(1+$O$5)^4,$U$2*0.25*N10/3),O10*N10/3*(1+$O$5)^4),0)</f>
        <v>0</v>
      </c>
      <c r="G10" s="54">
        <f>SUM(B10:F10)</f>
        <v>0</v>
      </c>
      <c r="H10" s="14"/>
      <c r="I10" s="106" t="s">
        <v>17</v>
      </c>
      <c r="J10" s="16">
        <v>0</v>
      </c>
      <c r="K10" s="16">
        <f>IF($J$5&gt;1,J10,0)</f>
        <v>0</v>
      </c>
      <c r="L10" s="16">
        <f>IF($J$5&gt;2,K10,0)</f>
        <v>0</v>
      </c>
      <c r="M10" s="16">
        <f>IF($J$5&gt;3,L10,0)</f>
        <v>0</v>
      </c>
      <c r="N10" s="16">
        <f>IF($J$5&gt;4,M10,0)</f>
        <v>0</v>
      </c>
      <c r="O10" s="145">
        <f>IF(U11="A",IF($U$2&lt;&gt;0,IF(T11/9*3&gt;($U$2/12*3),($U$2/12*3),T11/9*3),T11/9*3),0)</f>
        <v>0</v>
      </c>
      <c r="P10" s="157"/>
      <c r="Q10" s="157">
        <f>((SUM(J7:N7)-SUM(J9:N9)*9)/(CEILING($J$5*3,3)))*3</f>
        <v>0</v>
      </c>
      <c r="R10" s="12"/>
      <c r="S10" s="12"/>
      <c r="T10" s="1"/>
      <c r="U10" s="92"/>
      <c r="V10" s="92"/>
    </row>
    <row r="11" spans="1:23" outlineLevel="1" x14ac:dyDescent="0.25">
      <c r="A11" s="19"/>
      <c r="B11" s="55"/>
      <c r="C11" s="55"/>
      <c r="D11" s="56"/>
      <c r="E11" s="56"/>
      <c r="F11" s="56"/>
      <c r="G11" s="57"/>
      <c r="H11" s="20"/>
      <c r="I11" s="106" t="s">
        <v>109</v>
      </c>
      <c r="J11" s="147">
        <f>SUM(B8:B10)*$V11</f>
        <v>0</v>
      </c>
      <c r="K11" s="147">
        <f>SUM(C8:C10)*$V11</f>
        <v>0</v>
      </c>
      <c r="L11" s="147">
        <f>SUM(D8:D10)*$V11</f>
        <v>0</v>
      </c>
      <c r="M11" s="147">
        <f>SUM(E8:E10)*$V11</f>
        <v>0</v>
      </c>
      <c r="N11" s="147">
        <f>SUM(F8:F10)*$V11</f>
        <v>0</v>
      </c>
      <c r="O11" s="146"/>
      <c r="P11" s="157"/>
      <c r="Q11" s="157"/>
      <c r="R11" s="12"/>
      <c r="S11" s="12"/>
      <c r="T11" s="143">
        <v>0</v>
      </c>
      <c r="U11" s="144"/>
      <c r="V11" s="148">
        <f>$J$79</f>
        <v>0</v>
      </c>
    </row>
    <row r="12" spans="1:23" outlineLevel="1" x14ac:dyDescent="0.25">
      <c r="A12" s="19"/>
      <c r="B12" s="55"/>
      <c r="C12" s="55"/>
      <c r="D12" s="56"/>
      <c r="E12" s="56"/>
      <c r="F12" s="56"/>
      <c r="G12" s="57"/>
      <c r="H12" s="20"/>
      <c r="I12" s="124"/>
      <c r="J12" s="91"/>
      <c r="K12" s="91"/>
      <c r="L12" s="91"/>
      <c r="M12" s="91"/>
      <c r="N12" s="91"/>
      <c r="O12" s="22"/>
      <c r="P12" s="157"/>
      <c r="Q12" s="157"/>
      <c r="R12" s="12"/>
      <c r="S12" s="12"/>
      <c r="T12" s="90"/>
      <c r="U12" s="92"/>
      <c r="V12" s="92"/>
    </row>
    <row r="13" spans="1:23" outlineLevel="1" x14ac:dyDescent="0.25">
      <c r="A13" s="23" t="s">
        <v>84</v>
      </c>
      <c r="B13" s="55"/>
      <c r="C13" s="56"/>
      <c r="D13" s="56"/>
      <c r="E13" s="56"/>
      <c r="F13" s="56"/>
      <c r="G13" s="54"/>
      <c r="I13" s="106" t="s">
        <v>128</v>
      </c>
      <c r="J13" s="5">
        <f>IF(U17="F",J14*12,SUM(J15*9,J16))</f>
        <v>0</v>
      </c>
      <c r="K13" s="5">
        <f>IF(U17="F",K14*12,SUM(K15*9,K16))</f>
        <v>0</v>
      </c>
      <c r="L13" s="5">
        <f>IF(U17="F",L14*12,SUM(L15*9,L16))</f>
        <v>0</v>
      </c>
      <c r="M13" s="5">
        <f>IF(U17="F",M14*12,SUM(M15*9,M16))</f>
        <v>0</v>
      </c>
      <c r="N13" s="5">
        <f>IF(U17="F",N14*12,SUM(N15*9,N16))</f>
        <v>0</v>
      </c>
      <c r="O13" s="49" t="s">
        <v>51</v>
      </c>
      <c r="P13" s="153" t="s">
        <v>126</v>
      </c>
      <c r="Q13" s="153" t="s">
        <v>127</v>
      </c>
      <c r="R13" s="11"/>
      <c r="S13" s="12"/>
      <c r="T13" s="90"/>
      <c r="U13" s="92"/>
      <c r="V13" s="92"/>
    </row>
    <row r="14" spans="1:23" ht="15.75" customHeight="1" outlineLevel="1" x14ac:dyDescent="0.25">
      <c r="A14" s="13" t="str">
        <f>ROUND(P14*100, 2)&amp;"% Avg. Fiscal Effort, "&amp;ROUND(Q14, 2)&amp;" Avg. Calendar Months"</f>
        <v>0% Avg. Fiscal Effort, 0 Avg. Calendar Months</v>
      </c>
      <c r="B14" s="55">
        <f>O14*J14</f>
        <v>0</v>
      </c>
      <c r="C14" s="55">
        <f>IF($J$5&gt;1,IF($U$2&lt;&gt;0,IF(O14*(1+$O$5)&lt;=$U$2,O14*K14*(1+$O$5),$U$2*K14),O14*K14*(1+$O$5)),0)</f>
        <v>0</v>
      </c>
      <c r="D14" s="55">
        <f>IF($J$5&gt;2,IF($U$2&lt;&gt;0,IF(O14*(1+$O$5)^2&lt;=$U$2,O14*L14*(1+$O$5)^2,$U$2*L14),O14*L14*(1+$O$5)^2),0)</f>
        <v>0</v>
      </c>
      <c r="E14" s="55">
        <f>IF($J$5&gt;3,IF($U$2&lt;&gt;0,IF(O14*(1+$O$5)^3&lt;=$U$2,O14*M14*(1+$O$5)^3,$U$2*M14),O14*M14*(1+$O$5)^3),0)</f>
        <v>0</v>
      </c>
      <c r="F14" s="55">
        <f>IF($J$5&gt;4,IF($U$2&lt;&gt;0,IF(O14*(1+$O$5)^4&lt;=$U$2,O14*N14*(1+$O$5)^4,$U$2*N14),O14*N14*(1+$O$5)^4),0)</f>
        <v>0</v>
      </c>
      <c r="G14" s="54">
        <f>SUM(B14:F14)</f>
        <v>0</v>
      </c>
      <c r="H14" s="14"/>
      <c r="I14" s="106" t="s">
        <v>26</v>
      </c>
      <c r="J14" s="17">
        <v>0</v>
      </c>
      <c r="K14" s="17">
        <f>IF($J$5&gt;1,J14,0)</f>
        <v>0</v>
      </c>
      <c r="L14" s="17">
        <f>IF($J$5&gt;2,K14,0)</f>
        <v>0</v>
      </c>
      <c r="M14" s="17">
        <f>IF($J$5&gt;3,L14,0)</f>
        <v>0</v>
      </c>
      <c r="N14" s="17">
        <f>IF($J$5&gt;4,M14,0)</f>
        <v>0</v>
      </c>
      <c r="O14" s="145">
        <f>IF(U17="F",IF($U$2&lt;&gt;0,IF(T17&gt;$U$2,$U$2,T17),T17),0)</f>
        <v>0</v>
      </c>
      <c r="P14" s="154">
        <f>SUM(J13:N13)/(ROUNDUP($J$5,0)*12)</f>
        <v>0</v>
      </c>
      <c r="Q14" s="155">
        <f>(SUM(J13:N13)/(CEILING($J$5*12,12)))*12</f>
        <v>0</v>
      </c>
      <c r="R14" s="1"/>
      <c r="S14" s="1"/>
      <c r="T14" s="90"/>
      <c r="U14" s="92"/>
      <c r="V14" s="92"/>
    </row>
    <row r="15" spans="1:23" outlineLevel="1" x14ac:dyDescent="0.25">
      <c r="A15" s="481" t="str">
        <f>ROUND(P14*100,2)&amp;"% Annualized Effort, "&amp;ROUND(Q15,2)&amp;" Avg. Academic Months
"&amp;IF(SUM(J16:N16)&gt;0," and "&amp;Q16 &amp;" Avg. Summer Months", "")</f>
        <v xml:space="preserve">0% Annualized Effort, 0 Avg. Academic Months
</v>
      </c>
      <c r="B15" s="55">
        <f>J15*O15</f>
        <v>0</v>
      </c>
      <c r="C15" s="55">
        <f>IF($J$5&gt;1,IF($U$2&lt;&gt;0,IF(O15*(1+$O$5)&lt;=$U$2*0.75,O15*K15*(1+$O$5),$U$2*0.75*K15),O15*K15*(1+$O$5)),0)</f>
        <v>0</v>
      </c>
      <c r="D15" s="55">
        <f>IF($J$5&gt;2,IF($U$2&lt;&gt;0,IF(O15*(1+$O$5)^2&lt;=$U$2*0.75,O15*L15*(1+$O$5)^2,$U$2*0.75*L15),O15*L15*(1+$O$5)^2),0)</f>
        <v>0</v>
      </c>
      <c r="E15" s="55">
        <f>IF($J$5&gt;3,IF($U$2&lt;&gt;0,IF(O15*(1+$O$5)^3&lt;=$U$2*0.75,O15*M15*(1+$O$5)^3,$U$2*0.75*M15),O15*M15*(1+$O$5)^3),0)</f>
        <v>0</v>
      </c>
      <c r="F15" s="55">
        <f>IF($J$5&gt;4,IF($U$2&lt;&gt;0,IF(O15*(1+$O$5)^4&lt;=$U$2*0.75,O15*N15*(1+$O$5)^4,$U$2*0.75*N15),O15*N15*(1+$O$5)^4),0)</f>
        <v>0</v>
      </c>
      <c r="G15" s="54">
        <f>SUM(B15:F15)</f>
        <v>0</v>
      </c>
      <c r="H15" s="14"/>
      <c r="I15" s="106" t="s">
        <v>15</v>
      </c>
      <c r="J15" s="17">
        <v>0</v>
      </c>
      <c r="K15" s="17">
        <f>IF($J$5&gt;1,J15,0)</f>
        <v>0</v>
      </c>
      <c r="L15" s="17">
        <f>IF($J$5&gt;2,K15,0)</f>
        <v>0</v>
      </c>
      <c r="M15" s="17">
        <f>IF($J$5&gt;3,L15,0)</f>
        <v>0</v>
      </c>
      <c r="N15" s="17">
        <f>IF($J$5&gt;4,M15,0)</f>
        <v>0</v>
      </c>
      <c r="O15" s="145">
        <f>IF(U17="A",IF($U$2&lt;&gt;0,IF(T17&gt;($U$2/12*9),($U$2/12*9),T17),T17),0)</f>
        <v>0</v>
      </c>
      <c r="P15" s="166"/>
      <c r="Q15" s="156">
        <f>((SUM(J13:N13)-SUM(J16:N16))/(CEILING($J$5*9,9)))*9</f>
        <v>0</v>
      </c>
      <c r="R15" s="12"/>
      <c r="S15" s="12"/>
      <c r="T15" s="90"/>
      <c r="U15" s="92"/>
      <c r="V15" s="92"/>
    </row>
    <row r="16" spans="1:23" outlineLevel="1" x14ac:dyDescent="0.25">
      <c r="A16" s="481"/>
      <c r="B16" s="55">
        <f>J16/3*O16</f>
        <v>0</v>
      </c>
      <c r="C16" s="55">
        <f>IF($J$5&gt;1,IF($U$2&lt;&gt;0,IF(O16*(1+$O$5)&lt;=$U$2*0.25,O16*K16/3*(1+$O$5),$U$2*0.25*K16/3),O16*K16/3*(1+$O$5)),0)</f>
        <v>0</v>
      </c>
      <c r="D16" s="55">
        <f>IF($J$5&gt;2,IF($U$2&lt;&gt;0,IF(O16*(1+$O$5)^2&lt;=$U$2*0.25,O16*L16/3*(1+$O$5)^2,$U$2*0.25*L16/3),O16*L16/3*(1+$O$5)^2),0)</f>
        <v>0</v>
      </c>
      <c r="E16" s="55">
        <f>IF($J$5&gt;3,IF($U$2&lt;&gt;0,IF(O16*(1+$O$5)^3&lt;=$U$2*0.25,O16*M16/3*(1+$O$5)^3,$U$2*0.25*M16/3),O16*M16/3*(1+$O$5)^3),0)</f>
        <v>0</v>
      </c>
      <c r="F16" s="55">
        <f>IF($J$5&gt;4,IF($U$2&lt;&gt;0,IF(O16*(1+$O$5)^4&lt;=$U$2*0.25,O16*N16/3*(1+$O$5)^4,$U$2*0.25*N16/3),O16*N16/3*(1+$O$5)^4),0)</f>
        <v>0</v>
      </c>
      <c r="G16" s="54">
        <f>SUM(B16:F16)</f>
        <v>0</v>
      </c>
      <c r="H16" s="14"/>
      <c r="I16" s="106" t="s">
        <v>17</v>
      </c>
      <c r="J16" s="16">
        <v>0</v>
      </c>
      <c r="K16" s="16">
        <f>IF($J$5&gt;1,J16,0)</f>
        <v>0</v>
      </c>
      <c r="L16" s="16">
        <f>IF($J$5&gt;2,K16,0)</f>
        <v>0</v>
      </c>
      <c r="M16" s="16">
        <f>IF($J$5&gt;3,L16,0)</f>
        <v>0</v>
      </c>
      <c r="N16" s="16">
        <f>IF($J$5&gt;4,M16,0)</f>
        <v>0</v>
      </c>
      <c r="O16" s="145">
        <f>IF(U17="A",IF($U$2&lt;&gt;0,IF(T17/9*3&gt;($U$2/12*3),($U$2/12*3),T17/9*3),T17/9*3),0)</f>
        <v>0</v>
      </c>
      <c r="P16" s="157"/>
      <c r="Q16" s="157">
        <f>((SUM(J13:N13)-SUM(J15:N15)*9)/(CEILING($J$5*3,3)))*3</f>
        <v>0</v>
      </c>
      <c r="R16" s="12"/>
      <c r="S16" s="12"/>
      <c r="T16" s="1"/>
      <c r="U16" s="92"/>
      <c r="V16" s="92"/>
    </row>
    <row r="17" spans="1:22" outlineLevel="1" x14ac:dyDescent="0.25">
      <c r="A17" s="19"/>
      <c r="B17" s="55"/>
      <c r="C17" s="55"/>
      <c r="D17" s="56"/>
      <c r="E17" s="56"/>
      <c r="F17" s="56"/>
      <c r="G17" s="57"/>
      <c r="H17" s="20"/>
      <c r="I17" s="106" t="s">
        <v>109</v>
      </c>
      <c r="J17" s="147">
        <f>SUM(B14:B16)*$V17</f>
        <v>0</v>
      </c>
      <c r="K17" s="147">
        <f>SUM(C14:C16)*$V17</f>
        <v>0</v>
      </c>
      <c r="L17" s="147">
        <f>SUM(D14:D16)*$V17</f>
        <v>0</v>
      </c>
      <c r="M17" s="147">
        <f>SUM(E14:E16)*$V17</f>
        <v>0</v>
      </c>
      <c r="N17" s="147">
        <f>SUM(F14:F16)*$V17</f>
        <v>0</v>
      </c>
      <c r="O17" s="146"/>
      <c r="P17" s="157"/>
      <c r="Q17" s="157"/>
      <c r="R17" s="12"/>
      <c r="S17" s="12"/>
      <c r="T17" s="143">
        <v>0</v>
      </c>
      <c r="U17" s="144"/>
      <c r="V17" s="148">
        <f>$J$79</f>
        <v>0</v>
      </c>
    </row>
    <row r="18" spans="1:22" outlineLevel="1" x14ac:dyDescent="0.25">
      <c r="A18" s="19"/>
      <c r="B18" s="55"/>
      <c r="C18" s="55"/>
      <c r="D18" s="56"/>
      <c r="E18" s="56"/>
      <c r="F18" s="56"/>
      <c r="G18" s="57"/>
      <c r="H18" s="20"/>
      <c r="I18" s="124"/>
      <c r="J18" s="91"/>
      <c r="K18" s="91"/>
      <c r="L18" s="91"/>
      <c r="M18" s="91"/>
      <c r="N18" s="91"/>
      <c r="O18" s="22"/>
      <c r="P18" s="157"/>
      <c r="Q18" s="157"/>
      <c r="R18" s="12"/>
      <c r="S18" s="12"/>
      <c r="T18" s="90"/>
      <c r="U18" s="92"/>
      <c r="V18" s="92"/>
    </row>
    <row r="19" spans="1:22" outlineLevel="1" x14ac:dyDescent="0.25">
      <c r="A19" s="23" t="s">
        <v>84</v>
      </c>
      <c r="B19" s="55"/>
      <c r="C19" s="56"/>
      <c r="D19" s="56"/>
      <c r="E19" s="56"/>
      <c r="F19" s="56"/>
      <c r="G19" s="54"/>
      <c r="I19" s="106" t="s">
        <v>128</v>
      </c>
      <c r="J19" s="5">
        <f>IF(U23="F",J20*12,SUM(J21*9,J22))</f>
        <v>0</v>
      </c>
      <c r="K19" s="5">
        <f>IF(U23="F",K20*12,SUM(K21*9,K22))</f>
        <v>0</v>
      </c>
      <c r="L19" s="5">
        <f>IF(U23="F",L20*12,SUM(L21*9,L22))</f>
        <v>0</v>
      </c>
      <c r="M19" s="5">
        <f>IF(U23="F",M20*12,SUM(M21*9,M22))</f>
        <v>0</v>
      </c>
      <c r="N19" s="5">
        <f>IF(U23="F",N20*12,SUM(N21*9,N22))</f>
        <v>0</v>
      </c>
      <c r="O19" s="49" t="s">
        <v>51</v>
      </c>
      <c r="P19" s="153" t="s">
        <v>126</v>
      </c>
      <c r="Q19" s="153" t="s">
        <v>127</v>
      </c>
      <c r="R19" s="11"/>
      <c r="S19" s="12"/>
      <c r="T19" s="90"/>
      <c r="U19" s="92"/>
      <c r="V19" s="92"/>
    </row>
    <row r="20" spans="1:22" outlineLevel="1" x14ac:dyDescent="0.25">
      <c r="A20" s="13" t="str">
        <f>ROUND(P20*100, 2)&amp;"% Avg. Fiscal Effort, "&amp;ROUND(Q20, 2)&amp;" Avg. Calendar Months"</f>
        <v>0% Avg. Fiscal Effort, 0 Avg. Calendar Months</v>
      </c>
      <c r="B20" s="55">
        <f>O20*J20</f>
        <v>0</v>
      </c>
      <c r="C20" s="55">
        <f>IF($J$5&gt;1,IF($U$2&lt;&gt;0,IF(O20*(1+$O$5)&lt;=$U$2,O20*K20*(1+$O$5),$U$2*K20),O20*K20*(1+$O$5)),0)</f>
        <v>0</v>
      </c>
      <c r="D20" s="55">
        <f>IF($J$5&gt;2,IF($U$2&lt;&gt;0,IF(O20*(1+$O$5)^2&lt;=$U$2,O20*L20*(1+$O$5)^2,$U$2*L20),O20*L20*(1+$O$5)^2),0)</f>
        <v>0</v>
      </c>
      <c r="E20" s="55">
        <f>IF($J$5&gt;3,IF($U$2&lt;&gt;0,IF(O20*(1+$O$5)^3&lt;=$U$2,O20*M20*(1+$O$5)^3,$U$2*M20),O20*M20*(1+$O$5)^3),0)</f>
        <v>0</v>
      </c>
      <c r="F20" s="55">
        <f>IF($J$5&gt;4,IF($U$2&lt;&gt;0,IF(O20*(1+$O$5)^4&lt;=$U$2,O20*N20*(1+$O$5)^4,$U$2*N20),O20*N20*(1+$O$5)^4),0)</f>
        <v>0</v>
      </c>
      <c r="G20" s="54">
        <f>SUM(B20:F20)</f>
        <v>0</v>
      </c>
      <c r="H20" s="14"/>
      <c r="I20" s="106" t="s">
        <v>26</v>
      </c>
      <c r="J20" s="17">
        <v>0</v>
      </c>
      <c r="K20" s="17">
        <f>IF($J$5&gt;1,J20,0)</f>
        <v>0</v>
      </c>
      <c r="L20" s="17">
        <f>IF($J$5&gt;2,K20,0)</f>
        <v>0</v>
      </c>
      <c r="M20" s="17">
        <f>IF($J$5&gt;3,L20,0)</f>
        <v>0</v>
      </c>
      <c r="N20" s="17">
        <f>IF($J$5&gt;4,M20,0)</f>
        <v>0</v>
      </c>
      <c r="O20" s="145">
        <f>IF(U23="F",IF($U$2&lt;&gt;0,IF(T23&gt;$U$2,$U$2,T23),T23),0)</f>
        <v>0</v>
      </c>
      <c r="P20" s="154">
        <f>SUM(J19:N19)/(ROUNDUP($J$5,0)*12)</f>
        <v>0</v>
      </c>
      <c r="Q20" s="155">
        <f>(SUM(J19:N19)/(CEILING($J$5*12,12)))*12</f>
        <v>0</v>
      </c>
      <c r="R20" s="1"/>
      <c r="S20" s="1"/>
      <c r="T20" s="90"/>
      <c r="U20" s="92"/>
      <c r="V20" s="92"/>
    </row>
    <row r="21" spans="1:22" outlineLevel="1" x14ac:dyDescent="0.25">
      <c r="A21" s="481" t="str">
        <f>ROUND(P20*100,2)&amp;"% Annualized Effort, "&amp;ROUND(Q21,2)&amp;" Avg. Academic Months
"&amp;IF(SUM(J22:N22)&gt;0," and "&amp;Q22 &amp;" Avg. Summer Months", "")</f>
        <v xml:space="preserve">0% Annualized Effort, 0 Avg. Academic Months
</v>
      </c>
      <c r="B21" s="55">
        <f>J21*O21</f>
        <v>0</v>
      </c>
      <c r="C21" s="55">
        <f>IF($J$5&gt;1,IF($U$2&lt;&gt;0,IF(O21*(1+$O$5)&lt;=$U$2*0.75,O21*K21*(1+$O$5),$U$2*0.75*K21),O21*K21*(1+$O$5)),0)</f>
        <v>0</v>
      </c>
      <c r="D21" s="55">
        <f>IF($J$5&gt;2,IF($U$2&lt;&gt;0,IF(O21*(1+$O$5)^2&lt;=$U$2*0.75,O21*L21*(1+$O$5)^2,$U$2*0.75*L21),O21*L21*(1+$O$5)^2),0)</f>
        <v>0</v>
      </c>
      <c r="E21" s="55">
        <f>IF($J$5&gt;3,IF($U$2&lt;&gt;0,IF(O21*(1+$O$5)^3&lt;=$U$2*0.75,O21*M21*(1+$O$5)^3,$U$2*0.75*M21),O21*M21*(1+$O$5)^3),0)</f>
        <v>0</v>
      </c>
      <c r="F21" s="55">
        <f>IF($J$5&gt;4,IF($U$2&lt;&gt;0,IF(O21*(1+$O$5)^4&lt;=$U$2*0.75,O21*N21*(1+$O$5)^4,$U$2*0.75*N21),O21*N21*(1+$O$5)^4),0)</f>
        <v>0</v>
      </c>
      <c r="G21" s="54">
        <f>SUM(B21:F21)</f>
        <v>0</v>
      </c>
      <c r="H21" s="14"/>
      <c r="I21" s="106" t="s">
        <v>15</v>
      </c>
      <c r="J21" s="17">
        <v>0</v>
      </c>
      <c r="K21" s="17">
        <f>IF($J$5&gt;1,J21,0)</f>
        <v>0</v>
      </c>
      <c r="L21" s="17">
        <f>IF($J$5&gt;2,K21,0)</f>
        <v>0</v>
      </c>
      <c r="M21" s="17">
        <f>IF($J$5&gt;3,L21,0)</f>
        <v>0</v>
      </c>
      <c r="N21" s="17">
        <f>IF($J$5&gt;4,M21,0)</f>
        <v>0</v>
      </c>
      <c r="O21" s="145">
        <f>IF(U23="A",IF($U$2&lt;&gt;0,IF(T23&gt;($U$2/12*9),($U$2/12*9),T23),T23),0)</f>
        <v>0</v>
      </c>
      <c r="P21" s="166"/>
      <c r="Q21" s="156">
        <f>((SUM(J19:N19)-SUM(J22:N22))/(CEILING($J$5*9,9)))*9</f>
        <v>0</v>
      </c>
      <c r="R21" s="12"/>
      <c r="S21" s="12"/>
      <c r="T21" s="90"/>
      <c r="U21" s="92"/>
      <c r="V21" s="92"/>
    </row>
    <row r="22" spans="1:22" outlineLevel="1" x14ac:dyDescent="0.25">
      <c r="A22" s="481"/>
      <c r="B22" s="55">
        <f>J22/3*O22</f>
        <v>0</v>
      </c>
      <c r="C22" s="55">
        <f>IF($J$5&gt;1,IF($U$2&lt;&gt;0,IF(O22*(1+$O$5)&lt;=$U$2*0.25,O22*K22/3*(1+$O$5),$U$2*0.25*K22/3),O22*K22/3*(1+$O$5)),0)</f>
        <v>0</v>
      </c>
      <c r="D22" s="55">
        <f>IF($J$5&gt;2,IF($U$2&lt;&gt;0,IF(O22*(1+$O$5)^2&lt;=$U$2*0.25,O22*L22/3*(1+$O$5)^2,$U$2*0.25*L22/3),O22*L22/3*(1+$O$5)^2),0)</f>
        <v>0</v>
      </c>
      <c r="E22" s="55">
        <f>IF($J$5&gt;3,IF($U$2&lt;&gt;0,IF(O22*(1+$O$5)^3&lt;=$U$2*0.25,O22*M22/3*(1+$O$5)^3,$U$2*0.25*M22/3),O22*M22/3*(1+$O$5)^3),0)</f>
        <v>0</v>
      </c>
      <c r="F22" s="55">
        <f>IF($J$5&gt;4,IF($U$2&lt;&gt;0,IF(O22*(1+$O$5)^4&lt;=$U$2*0.25,O22*N22/3*(1+$O$5)^4,$U$2*0.25*N22/3),O22*N22/3*(1+$O$5)^4),0)</f>
        <v>0</v>
      </c>
      <c r="G22" s="54">
        <f>SUM(B22:F22)</f>
        <v>0</v>
      </c>
      <c r="H22" s="14"/>
      <c r="I22" s="106" t="s">
        <v>17</v>
      </c>
      <c r="J22" s="16">
        <v>0</v>
      </c>
      <c r="K22" s="16">
        <f>IF($J$5&gt;1,J22,0)</f>
        <v>0</v>
      </c>
      <c r="L22" s="16">
        <f>IF($J$5&gt;2,K22,0)</f>
        <v>0</v>
      </c>
      <c r="M22" s="16">
        <f>IF($J$5&gt;3,L22,0)</f>
        <v>0</v>
      </c>
      <c r="N22" s="16">
        <f>IF($J$5&gt;4,M22,0)</f>
        <v>0</v>
      </c>
      <c r="O22" s="145">
        <f>IF(U23="A",IF($U$2&lt;&gt;0,IF(T23/9*3&gt;($U$2/12*3),($U$2/12*3),T23/9*3),T23/9*3),0)</f>
        <v>0</v>
      </c>
      <c r="P22" s="157"/>
      <c r="Q22" s="157">
        <f>((SUM(J19:N19)-SUM(J21:N21)*9)/(CEILING($J$5*3,3)))*3</f>
        <v>0</v>
      </c>
      <c r="R22" s="12"/>
      <c r="S22" s="12"/>
      <c r="T22" s="1"/>
      <c r="U22" s="92"/>
      <c r="V22" s="92"/>
    </row>
    <row r="23" spans="1:22" outlineLevel="1" x14ac:dyDescent="0.25">
      <c r="A23" s="19"/>
      <c r="B23" s="55"/>
      <c r="C23" s="55"/>
      <c r="D23" s="56"/>
      <c r="E23" s="56"/>
      <c r="F23" s="56"/>
      <c r="G23" s="57"/>
      <c r="H23" s="20"/>
      <c r="I23" s="106" t="s">
        <v>109</v>
      </c>
      <c r="J23" s="147">
        <f>SUM(B20:B22)*$V23</f>
        <v>0</v>
      </c>
      <c r="K23" s="147">
        <f>SUM(C20:C22)*$V23</f>
        <v>0</v>
      </c>
      <c r="L23" s="147">
        <f>SUM(D20:D22)*$V23</f>
        <v>0</v>
      </c>
      <c r="M23" s="147">
        <f>SUM(E20:E22)*$V23</f>
        <v>0</v>
      </c>
      <c r="N23" s="147">
        <f>SUM(F20:F22)*$V23</f>
        <v>0</v>
      </c>
      <c r="O23" s="146"/>
      <c r="P23" s="157"/>
      <c r="Q23" s="157"/>
      <c r="R23" s="12"/>
      <c r="S23" s="12"/>
      <c r="T23" s="143">
        <v>0</v>
      </c>
      <c r="U23" s="144"/>
      <c r="V23" s="148">
        <f>$J$79</f>
        <v>0</v>
      </c>
    </row>
    <row r="24" spans="1:22" outlineLevel="1" x14ac:dyDescent="0.25">
      <c r="A24" s="19"/>
      <c r="B24" s="55"/>
      <c r="C24" s="55"/>
      <c r="D24" s="56"/>
      <c r="E24" s="56"/>
      <c r="F24" s="56"/>
      <c r="G24" s="57"/>
      <c r="H24" s="20"/>
      <c r="I24" s="124"/>
      <c r="J24" s="91"/>
      <c r="K24" s="91"/>
      <c r="L24" s="91"/>
      <c r="M24" s="91"/>
      <c r="N24" s="91"/>
      <c r="O24" s="22"/>
      <c r="P24" s="157"/>
      <c r="Q24" s="157"/>
      <c r="R24" s="12"/>
      <c r="S24" s="12"/>
      <c r="T24" s="90"/>
      <c r="U24" s="92"/>
      <c r="V24" s="92"/>
    </row>
    <row r="25" spans="1:22" outlineLevel="1" x14ac:dyDescent="0.25">
      <c r="A25" s="23" t="s">
        <v>84</v>
      </c>
      <c r="B25" s="55"/>
      <c r="C25" s="56"/>
      <c r="D25" s="56"/>
      <c r="E25" s="56"/>
      <c r="F25" s="56"/>
      <c r="G25" s="54"/>
      <c r="I25" s="106" t="s">
        <v>128</v>
      </c>
      <c r="J25" s="5">
        <f>IF(U29="F",J26*12,SUM(J27*9,J28))</f>
        <v>0</v>
      </c>
      <c r="K25" s="5">
        <f>IF(U29="F",K26*12,SUM(K27*9,K28))</f>
        <v>0</v>
      </c>
      <c r="L25" s="5">
        <f>IF(U29="F",L26*12,SUM(L27*9,L28))</f>
        <v>0</v>
      </c>
      <c r="M25" s="5">
        <f>IF(U29="F",M26*12,SUM(M27*9,M28))</f>
        <v>0</v>
      </c>
      <c r="N25" s="5">
        <f>IF(U29="F",N26*12,SUM(N27*9,N28))</f>
        <v>0</v>
      </c>
      <c r="O25" s="49" t="s">
        <v>51</v>
      </c>
      <c r="P25" s="153" t="s">
        <v>126</v>
      </c>
      <c r="Q25" s="153" t="s">
        <v>127</v>
      </c>
      <c r="R25" s="11"/>
      <c r="S25" s="12"/>
      <c r="T25" s="90"/>
      <c r="U25" s="92"/>
      <c r="V25" s="92"/>
    </row>
    <row r="26" spans="1:22" outlineLevel="1" x14ac:dyDescent="0.25">
      <c r="A26" s="13" t="str">
        <f>ROUND(P26*100, 2)&amp;"% Avg. Fiscal Effort, "&amp;ROUND(Q26, 2)&amp;" Avg. Calendar Months"</f>
        <v>0% Avg. Fiscal Effort, 0 Avg. Calendar Months</v>
      </c>
      <c r="B26" s="55">
        <f>O26*J26</f>
        <v>0</v>
      </c>
      <c r="C26" s="55">
        <f>IF($J$5&gt;1,IF($U$2&lt;&gt;0,IF(O26*(1+$O$5)&lt;=$U$2,O26*K26*(1+$O$5),$U$2*K26),O26*K26*(1+$O$5)),0)</f>
        <v>0</v>
      </c>
      <c r="D26" s="55">
        <f>IF($J$5&gt;2,IF($U$2&lt;&gt;0,IF(O26*(1+$O$5)^2&lt;=$U$2,O26*L26*(1+$O$5)^2,$U$2*L26),O26*L26*(1+$O$5)^2),0)</f>
        <v>0</v>
      </c>
      <c r="E26" s="55">
        <f>IF($J$5&gt;3,IF($U$2&lt;&gt;0,IF(O26*(1+$O$5)^3&lt;=$U$2,O26*M26*(1+$O$5)^3,$U$2*M26),O26*M26*(1+$O$5)^3),0)</f>
        <v>0</v>
      </c>
      <c r="F26" s="55">
        <f>IF($J$5&gt;4,IF($U$2&lt;&gt;0,IF(O26*(1+$O$5)^4&lt;=$U$2,O26*N26*(1+$O$5)^4,$U$2*N26),O26*N26*(1+$O$5)^4),0)</f>
        <v>0</v>
      </c>
      <c r="G26" s="54">
        <f>SUM(B26:F26)</f>
        <v>0</v>
      </c>
      <c r="H26" s="14"/>
      <c r="I26" s="106" t="s">
        <v>26</v>
      </c>
      <c r="J26" s="17">
        <v>0</v>
      </c>
      <c r="K26" s="17">
        <f>IF($J$5&gt;1,J26,0)</f>
        <v>0</v>
      </c>
      <c r="L26" s="17">
        <f>IF($J$5&gt;2,K26,0)</f>
        <v>0</v>
      </c>
      <c r="M26" s="17">
        <f>IF($J$5&gt;3,L26,0)</f>
        <v>0</v>
      </c>
      <c r="N26" s="17">
        <f>IF($J$5&gt;4,M26,0)</f>
        <v>0</v>
      </c>
      <c r="O26" s="145">
        <f>IF(U29="F",IF($U$2&lt;&gt;0,IF(T29&gt;$U$2,$U$2,T29),T29),0)</f>
        <v>0</v>
      </c>
      <c r="P26" s="154">
        <f>SUM(J25:N25)/(ROUNDUP($J$5,0)*12)</f>
        <v>0</v>
      </c>
      <c r="Q26" s="155">
        <f>(SUM(J25:N25)/(CEILING($J$5*12,12)))*12</f>
        <v>0</v>
      </c>
      <c r="R26" s="1"/>
      <c r="S26" s="1"/>
      <c r="T26" s="90"/>
      <c r="U26" s="92"/>
      <c r="V26" s="92"/>
    </row>
    <row r="27" spans="1:22" outlineLevel="1" x14ac:dyDescent="0.25">
      <c r="A27" s="481" t="str">
        <f>ROUND(P26*100,2)&amp;"% Annualized Effort, "&amp;ROUND(Q27,2)&amp;" Avg. Academic Months
"&amp;IF(SUM(J28:N28)&gt;0," and "&amp;Q28 &amp;" Avg. Summer Months", "")</f>
        <v xml:space="preserve">0% Annualized Effort, 0 Avg. Academic Months
</v>
      </c>
      <c r="B27" s="55">
        <f>J27*O27</f>
        <v>0</v>
      </c>
      <c r="C27" s="55">
        <f>IF($J$5&gt;1,IF($U$2&lt;&gt;0,IF(O27*(1+$O$5)&lt;=$U$2*0.75,O27*K27*(1+$O$5),$U$2*0.75*K27),O27*K27*(1+$O$5)),0)</f>
        <v>0</v>
      </c>
      <c r="D27" s="55">
        <f>IF($J$5&gt;2,IF($U$2&lt;&gt;0,IF(O27*(1+$O$5)^2&lt;=$U$2*0.75,O27*L27*(1+$O$5)^2,$U$2*0.75*L27),O27*L27*(1+$O$5)^2),0)</f>
        <v>0</v>
      </c>
      <c r="E27" s="55">
        <f>IF($J$5&gt;3,IF($U$2&lt;&gt;0,IF(O27*(1+$O$5)^3&lt;=$U$2*0.75,O27*M27*(1+$O$5)^3,$U$2*0.75*M27),O27*M27*(1+$O$5)^3),0)</f>
        <v>0</v>
      </c>
      <c r="F27" s="55">
        <f>IF($J$5&gt;4,IF($U$2&lt;&gt;0,IF(O27*(1+$O$5)^4&lt;=$U$2*0.75,O27*N27*(1+$O$5)^4,$U$2*0.75*N27),O27*N27*(1+$O$5)^4),0)</f>
        <v>0</v>
      </c>
      <c r="G27" s="54">
        <f>SUM(B27:F27)</f>
        <v>0</v>
      </c>
      <c r="H27" s="14"/>
      <c r="I27" s="106" t="s">
        <v>15</v>
      </c>
      <c r="J27" s="17">
        <v>0</v>
      </c>
      <c r="K27" s="17">
        <f>IF($J$5&gt;1,J27,0)</f>
        <v>0</v>
      </c>
      <c r="L27" s="17">
        <f>IF($J$5&gt;2,K27,0)</f>
        <v>0</v>
      </c>
      <c r="M27" s="17">
        <f>IF($J$5&gt;3,L27,0)</f>
        <v>0</v>
      </c>
      <c r="N27" s="17">
        <f>IF($J$5&gt;4,M27,0)</f>
        <v>0</v>
      </c>
      <c r="O27" s="145">
        <f>IF(U29="A",IF($U$2&lt;&gt;0,IF(T29&gt;($U$2/12*9),($U$2/12*9),T29),T29),0)</f>
        <v>0</v>
      </c>
      <c r="P27" s="166"/>
      <c r="Q27" s="156">
        <f>((SUM(J25:N25)-SUM(J28:N28))/(CEILING($J$5*9,9)))*9</f>
        <v>0</v>
      </c>
      <c r="R27" s="12"/>
      <c r="S27" s="12"/>
      <c r="T27" s="90"/>
      <c r="U27" s="92"/>
      <c r="V27" s="92"/>
    </row>
    <row r="28" spans="1:22" outlineLevel="1" x14ac:dyDescent="0.25">
      <c r="A28" s="481"/>
      <c r="B28" s="55">
        <f>J28/3*O28</f>
        <v>0</v>
      </c>
      <c r="C28" s="55">
        <f>IF($J$5&gt;1,IF($U$2&lt;&gt;0,IF(O28*(1+$O$5)&lt;=$U$2*0.25,O28*K28/3*(1+$O$5),$U$2*0.25*K28/3),O28*K28/3*(1+$O$5)),0)</f>
        <v>0</v>
      </c>
      <c r="D28" s="55">
        <f>IF($J$5&gt;2,IF($U$2&lt;&gt;0,IF(O28*(1+$O$5)^2&lt;=$U$2*0.25,O28*L28/3*(1+$O$5)^2,$U$2*0.25*L28/3),O28*L28/3*(1+$O$5)^2),0)</f>
        <v>0</v>
      </c>
      <c r="E28" s="55">
        <f>IF($J$5&gt;3,IF($U$2&lt;&gt;0,IF(O28*(1+$O$5)^3&lt;=$U$2*0.25,O28*M28/3*(1+$O$5)^3,$U$2*0.25*M28/3),O28*M28/3*(1+$O$5)^3),0)</f>
        <v>0</v>
      </c>
      <c r="F28" s="55">
        <f>IF($J$5&gt;4,IF($U$2&lt;&gt;0,IF(O28*(1+$O$5)^4&lt;=$U$2*0.25,O28*N28/3*(1+$O$5)^4,$U$2*0.25*N28/3),O28*N28/3*(1+$O$5)^4),0)</f>
        <v>0</v>
      </c>
      <c r="G28" s="54">
        <f>SUM(B28:F28)</f>
        <v>0</v>
      </c>
      <c r="H28" s="14"/>
      <c r="I28" s="106" t="s">
        <v>17</v>
      </c>
      <c r="J28" s="16">
        <v>0</v>
      </c>
      <c r="K28" s="16">
        <f>IF($J$5&gt;1,J28,0)</f>
        <v>0</v>
      </c>
      <c r="L28" s="16">
        <f>IF($J$5&gt;2,K28,0)</f>
        <v>0</v>
      </c>
      <c r="M28" s="16">
        <f>IF($J$5&gt;3,L28,0)</f>
        <v>0</v>
      </c>
      <c r="N28" s="16">
        <f>IF($J$5&gt;4,M28,0)</f>
        <v>0</v>
      </c>
      <c r="O28" s="145">
        <f>IF(U29="A",IF($U$2&lt;&gt;0,IF(T29/9*3&gt;($U$2/12*3),($U$2/12*3),T29/9*3),T29/9*3),0)</f>
        <v>0</v>
      </c>
      <c r="P28" s="157"/>
      <c r="Q28" s="157">
        <f>((SUM(J25:N25)-SUM(J27:N27)*9)/(CEILING($J$5*3,3)))*3</f>
        <v>0</v>
      </c>
      <c r="R28" s="12"/>
      <c r="S28" s="12"/>
      <c r="T28" s="1"/>
      <c r="U28" s="92"/>
      <c r="V28" s="92"/>
    </row>
    <row r="29" spans="1:22" outlineLevel="1" x14ac:dyDescent="0.25">
      <c r="A29" s="19"/>
      <c r="B29" s="55"/>
      <c r="C29" s="55"/>
      <c r="D29" s="56"/>
      <c r="E29" s="56"/>
      <c r="F29" s="56"/>
      <c r="G29" s="57"/>
      <c r="H29" s="20"/>
      <c r="I29" s="106" t="s">
        <v>109</v>
      </c>
      <c r="J29" s="147">
        <f>SUM(B26:B28)*$V29</f>
        <v>0</v>
      </c>
      <c r="K29" s="147">
        <f>SUM(C26:C28)*$V29</f>
        <v>0</v>
      </c>
      <c r="L29" s="147">
        <f>SUM(D26:D28)*$V29</f>
        <v>0</v>
      </c>
      <c r="M29" s="147">
        <f>SUM(E26:E28)*$V29</f>
        <v>0</v>
      </c>
      <c r="N29" s="147">
        <f>SUM(F26:F28)*$V29</f>
        <v>0</v>
      </c>
      <c r="O29" s="146"/>
      <c r="P29" s="157"/>
      <c r="Q29" s="157"/>
      <c r="R29" s="12"/>
      <c r="S29" s="12"/>
      <c r="T29" s="143">
        <v>0</v>
      </c>
      <c r="U29" s="144"/>
      <c r="V29" s="148">
        <f>$J$79</f>
        <v>0</v>
      </c>
    </row>
    <row r="30" spans="1:22" outlineLevel="1" x14ac:dyDescent="0.25">
      <c r="A30" s="19"/>
      <c r="B30" s="55"/>
      <c r="C30" s="55"/>
      <c r="D30" s="56"/>
      <c r="E30" s="56"/>
      <c r="F30" s="56"/>
      <c r="G30" s="57"/>
      <c r="H30" s="20"/>
      <c r="I30" s="124"/>
      <c r="J30" s="91"/>
      <c r="K30" s="91"/>
      <c r="L30" s="91"/>
      <c r="M30" s="91"/>
      <c r="N30" s="91"/>
      <c r="O30" s="22"/>
      <c r="P30" s="157"/>
      <c r="Q30" s="157"/>
      <c r="R30" s="12"/>
      <c r="S30" s="12"/>
      <c r="T30" s="90"/>
      <c r="U30" s="92"/>
      <c r="V30" s="92"/>
    </row>
    <row r="31" spans="1:22" outlineLevel="1" x14ac:dyDescent="0.25">
      <c r="A31" s="23" t="s">
        <v>84</v>
      </c>
      <c r="B31" s="55"/>
      <c r="C31" s="56"/>
      <c r="D31" s="56"/>
      <c r="E31" s="56"/>
      <c r="F31" s="56"/>
      <c r="G31" s="54"/>
      <c r="I31" s="106" t="s">
        <v>128</v>
      </c>
      <c r="J31" s="5">
        <f>IF(U35="F",J32*12,SUM(J33*9,J34))</f>
        <v>0</v>
      </c>
      <c r="K31" s="5">
        <f>IF(U35="F",K32*12,SUM(K33*9,K34))</f>
        <v>0</v>
      </c>
      <c r="L31" s="5">
        <f>IF(U35="F",L32*12,SUM(L33*9,L34))</f>
        <v>0</v>
      </c>
      <c r="M31" s="5">
        <f>IF(U35="F",M32*12,SUM(M33*9,M34))</f>
        <v>0</v>
      </c>
      <c r="N31" s="5">
        <f>IF(U35="F",N32*12,SUM(N33*9,N34))</f>
        <v>0</v>
      </c>
      <c r="O31" s="49" t="s">
        <v>51</v>
      </c>
      <c r="P31" s="153" t="s">
        <v>126</v>
      </c>
      <c r="Q31" s="153" t="s">
        <v>127</v>
      </c>
      <c r="R31" s="11"/>
      <c r="S31" s="12"/>
      <c r="T31" s="90"/>
      <c r="U31" s="92"/>
      <c r="V31" s="92"/>
    </row>
    <row r="32" spans="1:22" outlineLevel="1" x14ac:dyDescent="0.25">
      <c r="A32" s="13" t="str">
        <f>ROUND(P32*100, 2)&amp;"% Avg. Fiscal Effort, "&amp;ROUND(Q32, 2)&amp;" Avg. Calendar Months"</f>
        <v>0% Avg. Fiscal Effort, 0 Avg. Calendar Months</v>
      </c>
      <c r="B32" s="55">
        <f>O32*J32</f>
        <v>0</v>
      </c>
      <c r="C32" s="55">
        <f>IF($J$5&gt;1,IF($U$2&lt;&gt;0,IF(O32*(1+$O$5)&lt;=$U$2,O32*K32*(1+$O$5),$U$2*K32),O32*K32*(1+$O$5)),0)</f>
        <v>0</v>
      </c>
      <c r="D32" s="55">
        <f>IF($J$5&gt;2,IF($U$2&lt;&gt;0,IF(O32*(1+$O$5)^2&lt;=$U$2,O32*L32*(1+$O$5)^2,$U$2*L32),O32*L32*(1+$O$5)^2),0)</f>
        <v>0</v>
      </c>
      <c r="E32" s="55">
        <f>IF($J$5&gt;3,IF($U$2&lt;&gt;0,IF(O32*(1+$O$5)^3&lt;=$U$2,O32*M32*(1+$O$5)^3,$U$2*M32),O32*M32*(1+$O$5)^3),0)</f>
        <v>0</v>
      </c>
      <c r="F32" s="55">
        <f>IF($J$5&gt;4,IF($U$2&lt;&gt;0,IF(O32*(1+$O$5)^4&lt;=$U$2,O32*N32*(1+$O$5)^4,$U$2*N32),O32*N32*(1+$O$5)^4),0)</f>
        <v>0</v>
      </c>
      <c r="G32" s="54">
        <f>SUM(B32:F32)</f>
        <v>0</v>
      </c>
      <c r="H32" s="14"/>
      <c r="I32" s="106" t="s">
        <v>26</v>
      </c>
      <c r="J32" s="17">
        <v>0</v>
      </c>
      <c r="K32" s="17">
        <f>IF($J$5&gt;1,J32,0)</f>
        <v>0</v>
      </c>
      <c r="L32" s="17">
        <f>IF($J$5&gt;2,K32,0)</f>
        <v>0</v>
      </c>
      <c r="M32" s="17">
        <f>IF($J$5&gt;3,L32,0)</f>
        <v>0</v>
      </c>
      <c r="N32" s="17">
        <f>IF($J$5&gt;4,M32,0)</f>
        <v>0</v>
      </c>
      <c r="O32" s="145">
        <f>IF(U35="F",IF($U$2&lt;&gt;0,IF(T35&gt;$U$2,$U$2,T35),T35),0)</f>
        <v>0</v>
      </c>
      <c r="P32" s="154">
        <f>SUM(J31:N31)/(ROUNDUP($J$5,0)*12)</f>
        <v>0</v>
      </c>
      <c r="Q32" s="155">
        <f>(SUM(J31:N31)/(CEILING($J$5*12,12)))*12</f>
        <v>0</v>
      </c>
      <c r="R32" s="1"/>
      <c r="S32" s="1"/>
      <c r="T32" s="90"/>
      <c r="U32" s="92"/>
      <c r="V32" s="92"/>
    </row>
    <row r="33" spans="1:22" outlineLevel="1" x14ac:dyDescent="0.25">
      <c r="A33" s="481" t="str">
        <f>ROUND(P32*100,2)&amp;"% Annualized Effort, "&amp;ROUND(Q33,2)&amp;" Avg. Academic Months
"&amp;IF(SUM(J34:N34)&gt;0," and "&amp;Q34 &amp;" Avg. Summer Months", "")</f>
        <v xml:space="preserve">0% Annualized Effort, 0 Avg. Academic Months
</v>
      </c>
      <c r="B33" s="55">
        <f>J33*O33</f>
        <v>0</v>
      </c>
      <c r="C33" s="55">
        <f>IF($J$5&gt;1,IF($U$2&lt;&gt;0,IF(O33*(1+$O$5)&lt;=$U$2*0.75,O33*K33*(1+$O$5),$U$2*0.75*K33),O33*K33*(1+$O$5)),0)</f>
        <v>0</v>
      </c>
      <c r="D33" s="55">
        <f>IF($J$5&gt;2,IF($U$2&lt;&gt;0,IF(O33*(1+$O$5)^2&lt;=$U$2*0.75,O33*L33*(1+$O$5)^2,$U$2*0.75*L33),O33*L33*(1+$O$5)^2),0)</f>
        <v>0</v>
      </c>
      <c r="E33" s="55">
        <f>IF($J$5&gt;3,IF($U$2&lt;&gt;0,IF(O33*(1+$O$5)^3&lt;=$U$2*0.75,O33*M33*(1+$O$5)^3,$U$2*0.75*M33),O33*M33*(1+$O$5)^3),0)</f>
        <v>0</v>
      </c>
      <c r="F33" s="55">
        <f>IF($J$5&gt;4,IF($U$2&lt;&gt;0,IF(O33*(1+$O$5)^4&lt;=$U$2*0.75,O33*N33*(1+$O$5)^4,$U$2*0.75*N33),O33*N33*(1+$O$5)^4),0)</f>
        <v>0</v>
      </c>
      <c r="G33" s="54">
        <f>SUM(B33:F33)</f>
        <v>0</v>
      </c>
      <c r="H33" s="14"/>
      <c r="I33" s="106" t="s">
        <v>15</v>
      </c>
      <c r="J33" s="17">
        <v>0</v>
      </c>
      <c r="K33" s="17">
        <f>IF($J$5&gt;1,J33,0)</f>
        <v>0</v>
      </c>
      <c r="L33" s="17">
        <f>IF($J$5&gt;2,K33,0)</f>
        <v>0</v>
      </c>
      <c r="M33" s="17">
        <f>IF($J$5&gt;3,L33,0)</f>
        <v>0</v>
      </c>
      <c r="N33" s="17">
        <f>IF($J$5&gt;4,M33,0)</f>
        <v>0</v>
      </c>
      <c r="O33" s="145">
        <f>IF(U35="A",IF($U$2&lt;&gt;0,IF(T35&gt;($U$2/12*9),($U$2/12*9),T35),T35),0)</f>
        <v>0</v>
      </c>
      <c r="P33" s="166"/>
      <c r="Q33" s="156">
        <f>((SUM(J31:N31)-SUM(J34:N34))/(CEILING($J$5*9,9)))*9</f>
        <v>0</v>
      </c>
      <c r="R33" s="12"/>
      <c r="S33" s="12"/>
      <c r="T33" s="90"/>
      <c r="U33" s="92"/>
      <c r="V33" s="92"/>
    </row>
    <row r="34" spans="1:22" outlineLevel="1" x14ac:dyDescent="0.25">
      <c r="A34" s="481"/>
      <c r="B34" s="55">
        <f>J34/3*O34</f>
        <v>0</v>
      </c>
      <c r="C34" s="55">
        <f>IF($J$5&gt;1,IF($U$2&lt;&gt;0,IF(O34*(1+$O$5)&lt;=$U$2*0.25,O34*K34/3*(1+$O$5),$U$2*0.25*K34/3),O34*K34/3*(1+$O$5)),0)</f>
        <v>0</v>
      </c>
      <c r="D34" s="55">
        <f>IF($J$5&gt;2,IF($U$2&lt;&gt;0,IF(O34*(1+$O$5)^2&lt;=$U$2*0.25,O34*L34/3*(1+$O$5)^2,$U$2*0.25*L34/3),O34*L34/3*(1+$O$5)^2),0)</f>
        <v>0</v>
      </c>
      <c r="E34" s="55">
        <f>IF($J$5&gt;3,IF($U$2&lt;&gt;0,IF(O34*(1+$O$5)^3&lt;=$U$2*0.25,O34*M34/3*(1+$O$5)^3,$U$2*0.25*M34/3),O34*M34/3*(1+$O$5)^3),0)</f>
        <v>0</v>
      </c>
      <c r="F34" s="55">
        <f>IF($J$5&gt;4,IF($U$2&lt;&gt;0,IF(O34*(1+$O$5)^4&lt;=$U$2*0.25,O34*N34/3*(1+$O$5)^4,$U$2*0.25*N34/3),O34*N34/3*(1+$O$5)^4),0)</f>
        <v>0</v>
      </c>
      <c r="G34" s="54">
        <f>SUM(B34:F34)</f>
        <v>0</v>
      </c>
      <c r="H34" s="14"/>
      <c r="I34" s="106" t="s">
        <v>17</v>
      </c>
      <c r="J34" s="16">
        <v>0</v>
      </c>
      <c r="K34" s="16">
        <f>IF($J$5&gt;1,J34,0)</f>
        <v>0</v>
      </c>
      <c r="L34" s="16">
        <f>IF($J$5&gt;2,K34,0)</f>
        <v>0</v>
      </c>
      <c r="M34" s="16">
        <f>IF($J$5&gt;3,L34,0)</f>
        <v>0</v>
      </c>
      <c r="N34" s="16">
        <f>IF($J$5&gt;4,M34,0)</f>
        <v>0</v>
      </c>
      <c r="O34" s="145">
        <f>IF(U35="A",IF($U$2&lt;&gt;0,IF(T35/9*3&gt;($U$2/12*3),($U$2/12*3),T35/9*3),T35/9*3),0)</f>
        <v>0</v>
      </c>
      <c r="P34" s="157"/>
      <c r="Q34" s="157">
        <f>((SUM(J31:N31)-SUM(J33:N33)*9)/(CEILING($J$5*3,3)))*3</f>
        <v>0</v>
      </c>
      <c r="R34" s="12"/>
      <c r="S34" s="12"/>
      <c r="T34" s="1"/>
      <c r="U34" s="92"/>
      <c r="V34" s="92"/>
    </row>
    <row r="35" spans="1:22" outlineLevel="1" x14ac:dyDescent="0.25">
      <c r="A35" s="19"/>
      <c r="B35" s="55"/>
      <c r="C35" s="55"/>
      <c r="D35" s="56"/>
      <c r="E35" s="56"/>
      <c r="F35" s="56"/>
      <c r="G35" s="57"/>
      <c r="H35" s="20"/>
      <c r="I35" s="106" t="s">
        <v>109</v>
      </c>
      <c r="J35" s="147">
        <f>SUM(B32:B34)*$V35</f>
        <v>0</v>
      </c>
      <c r="K35" s="147">
        <f>SUM(C32:C34)*$V35</f>
        <v>0</v>
      </c>
      <c r="L35" s="147">
        <f>SUM(D32:D34)*$V35</f>
        <v>0</v>
      </c>
      <c r="M35" s="147">
        <f>SUM(E32:E34)*$V35</f>
        <v>0</v>
      </c>
      <c r="N35" s="147">
        <f>SUM(F32:F34)*$V35</f>
        <v>0</v>
      </c>
      <c r="O35" s="146"/>
      <c r="P35" s="157"/>
      <c r="Q35" s="157"/>
      <c r="R35" s="12"/>
      <c r="S35" s="12"/>
      <c r="T35" s="143">
        <v>0</v>
      </c>
      <c r="U35" s="144"/>
      <c r="V35" s="148">
        <f>$J$79</f>
        <v>0</v>
      </c>
    </row>
    <row r="36" spans="1:22" outlineLevel="1" x14ac:dyDescent="0.25">
      <c r="A36" s="19"/>
      <c r="B36" s="55"/>
      <c r="C36" s="55"/>
      <c r="D36" s="56"/>
      <c r="E36" s="56"/>
      <c r="F36" s="56"/>
      <c r="G36" s="57"/>
      <c r="H36" s="20"/>
      <c r="I36" s="124"/>
      <c r="J36" s="91"/>
      <c r="K36" s="91"/>
      <c r="L36" s="91"/>
      <c r="M36" s="91"/>
      <c r="N36" s="91"/>
      <c r="O36" s="22"/>
      <c r="P36" s="157"/>
      <c r="Q36" s="157"/>
      <c r="R36" s="12"/>
      <c r="S36" s="12"/>
      <c r="T36" s="90"/>
      <c r="U36" s="92"/>
      <c r="V36" s="92"/>
    </row>
    <row r="37" spans="1:22" outlineLevel="1" x14ac:dyDescent="0.25">
      <c r="A37" s="23" t="s">
        <v>84</v>
      </c>
      <c r="B37" s="55"/>
      <c r="C37" s="56"/>
      <c r="D37" s="56"/>
      <c r="E37" s="56"/>
      <c r="F37" s="56"/>
      <c r="G37" s="54"/>
      <c r="I37" s="106" t="s">
        <v>128</v>
      </c>
      <c r="J37" s="5">
        <f>IF(U41="F",J38*12,SUM(J39*9,J40))</f>
        <v>0</v>
      </c>
      <c r="K37" s="5">
        <f>IF(U41="F",K38*12,SUM(K39*9,K40))</f>
        <v>0</v>
      </c>
      <c r="L37" s="5">
        <f>IF(U41="F",L38*12,SUM(L39*9,L40))</f>
        <v>0</v>
      </c>
      <c r="M37" s="5">
        <f>IF(U41="F",M38*12,SUM(M39*9,M40))</f>
        <v>0</v>
      </c>
      <c r="N37" s="5">
        <f>IF(U41="F",N38*12,SUM(N39*9,N40))</f>
        <v>0</v>
      </c>
      <c r="O37" s="49" t="s">
        <v>51</v>
      </c>
      <c r="P37" s="153" t="s">
        <v>126</v>
      </c>
      <c r="Q37" s="153" t="s">
        <v>127</v>
      </c>
      <c r="R37" s="11"/>
      <c r="S37" s="12"/>
      <c r="T37" s="90"/>
      <c r="U37" s="92"/>
      <c r="V37" s="92"/>
    </row>
    <row r="38" spans="1:22" outlineLevel="1" x14ac:dyDescent="0.25">
      <c r="A38" s="13" t="str">
        <f>ROUND(P38*100, 2)&amp;"% Avg. Fiscal Effort, "&amp;ROUND(Q38, 2)&amp;" Avg. Calendar Months"</f>
        <v>0% Avg. Fiscal Effort, 0 Avg. Calendar Months</v>
      </c>
      <c r="B38" s="55">
        <f>O38*J38</f>
        <v>0</v>
      </c>
      <c r="C38" s="55">
        <f>IF($J$5&gt;1,IF($U$2&lt;&gt;0,IF(O38*(1+$O$5)&lt;=$U$2,O38*K38*(1+$O$5),$U$2*K38),O38*K38*(1+$O$5)),0)</f>
        <v>0</v>
      </c>
      <c r="D38" s="55">
        <f>IF($J$5&gt;2,IF($U$2&lt;&gt;0,IF(O38*(1+$O$5)^2&lt;=$U$2,O38*L38*(1+$O$5)^2,$U$2*L38),O38*L38*(1+$O$5)^2),0)</f>
        <v>0</v>
      </c>
      <c r="E38" s="55">
        <f>IF($J$5&gt;3,IF($U$2&lt;&gt;0,IF(O38*(1+$O$5)^3&lt;=$U$2,O38*M38*(1+$O$5)^3,$U$2*M38),O38*M38*(1+$O$5)^3),0)</f>
        <v>0</v>
      </c>
      <c r="F38" s="55">
        <f>IF($J$5&gt;4,IF($U$2&lt;&gt;0,IF(O38*(1+$O$5)^4&lt;=$U$2,O38*N38*(1+$O$5)^4,$U$2*N38),O38*N38*(1+$O$5)^4),0)</f>
        <v>0</v>
      </c>
      <c r="G38" s="54">
        <f>SUM(B38:F38)</f>
        <v>0</v>
      </c>
      <c r="H38" s="14"/>
      <c r="I38" s="106" t="s">
        <v>26</v>
      </c>
      <c r="J38" s="17">
        <v>0</v>
      </c>
      <c r="K38" s="17">
        <f>IF($J$5&gt;1,J38,0)</f>
        <v>0</v>
      </c>
      <c r="L38" s="17">
        <f>IF($J$5&gt;2,K38,0)</f>
        <v>0</v>
      </c>
      <c r="M38" s="17">
        <f>IF($J$5&gt;3,L38,0)</f>
        <v>0</v>
      </c>
      <c r="N38" s="17">
        <f>IF($J$5&gt;4,M38,0)</f>
        <v>0</v>
      </c>
      <c r="O38" s="145">
        <f>IF(U41="F",IF($U$2&lt;&gt;0,IF(T41&gt;$U$2,$U$2,T41),T41),0)</f>
        <v>0</v>
      </c>
      <c r="P38" s="154">
        <f>SUM(J37:N37)/(ROUNDUP($J$5,0)*12)</f>
        <v>0</v>
      </c>
      <c r="Q38" s="155">
        <f>(SUM(J37:N37)/(CEILING($J$5*12,12)))*12</f>
        <v>0</v>
      </c>
      <c r="R38" s="1"/>
      <c r="S38" s="1"/>
      <c r="T38" s="90"/>
      <c r="U38" s="92"/>
      <c r="V38" s="92"/>
    </row>
    <row r="39" spans="1:22" ht="15.75" customHeight="1" outlineLevel="1" x14ac:dyDescent="0.25">
      <c r="A39" s="481" t="str">
        <f>ROUND(P38*100,2)&amp;"% Annualized Effort, "&amp;ROUND(Q39,2)&amp;" Avg. Academic Months
"&amp;IF(SUM(J40:N40)&gt;0," and "&amp;Q40 &amp;" Avg. Summer Months", "")</f>
        <v xml:space="preserve">0% Annualized Effort, 0 Avg. Academic Months
</v>
      </c>
      <c r="B39" s="55">
        <f>J39*O39</f>
        <v>0</v>
      </c>
      <c r="C39" s="55">
        <f>IF($J$5&gt;1,IF($U$2&lt;&gt;0,IF(O39*(1+$O$5)&lt;=$U$2*0.75,O39*K39*(1+$O$5),$U$2*0.75*K39),O39*K39*(1+$O$5)),0)</f>
        <v>0</v>
      </c>
      <c r="D39" s="55">
        <f>IF($J$5&gt;2,IF($U$2&lt;&gt;0,IF(O39*(1+$O$5)^2&lt;=$U$2*0.75,O39*L39*(1+$O$5)^2,$U$2*0.75*L39),O39*L39*(1+$O$5)^2),0)</f>
        <v>0</v>
      </c>
      <c r="E39" s="55">
        <f>IF($J$5&gt;3,IF($U$2&lt;&gt;0,IF(O39*(1+$O$5)^3&lt;=$U$2*0.75,O39*M39*(1+$O$5)^3,$U$2*0.75*M39),O39*M39*(1+$O$5)^3),0)</f>
        <v>0</v>
      </c>
      <c r="F39" s="55">
        <f>IF($J$5&gt;4,IF($U$2&lt;&gt;0,IF(O39*(1+$O$5)^4&lt;=$U$2*0.75,O39*N39*(1+$O$5)^4,$U$2*0.75*N39),O39*N39*(1+$O$5)^4),0)</f>
        <v>0</v>
      </c>
      <c r="G39" s="54">
        <f>SUM(B39:F39)</f>
        <v>0</v>
      </c>
      <c r="H39" s="14"/>
      <c r="I39" s="106" t="s">
        <v>15</v>
      </c>
      <c r="J39" s="17">
        <v>0</v>
      </c>
      <c r="K39" s="17">
        <f>IF($J$5&gt;1,J39,0)</f>
        <v>0</v>
      </c>
      <c r="L39" s="17">
        <f>IF($J$5&gt;2,K39,0)</f>
        <v>0</v>
      </c>
      <c r="M39" s="17">
        <f>IF($J$5&gt;3,L39,0)</f>
        <v>0</v>
      </c>
      <c r="N39" s="17">
        <f>IF($J$5&gt;4,M39,0)</f>
        <v>0</v>
      </c>
      <c r="O39" s="145">
        <f>IF(U41="A",IF($U$2&lt;&gt;0,IF(T41&gt;($U$2/12*9),($U$2/12*9),T41),T41),0)</f>
        <v>0</v>
      </c>
      <c r="P39" s="166"/>
      <c r="Q39" s="156">
        <f>((SUM(J37:N37)-SUM(J40:N40))/(CEILING($J$5*9,9)))*9</f>
        <v>0</v>
      </c>
      <c r="R39" s="12"/>
      <c r="S39" s="12"/>
      <c r="T39" s="90"/>
      <c r="U39" s="92"/>
      <c r="V39" s="92"/>
    </row>
    <row r="40" spans="1:22" outlineLevel="1" x14ac:dyDescent="0.25">
      <c r="A40" s="481"/>
      <c r="B40" s="55">
        <f>J40/3*O40</f>
        <v>0</v>
      </c>
      <c r="C40" s="55">
        <f>IF($J$5&gt;1,IF($U$2&lt;&gt;0,IF(O40*(1+$O$5)&lt;=$U$2*0.25,O40*K40/3*(1+$O$5),$U$2*0.25*K40/3),O40*K40/3*(1+$O$5)),0)</f>
        <v>0</v>
      </c>
      <c r="D40" s="55">
        <f>IF($J$5&gt;2,IF($U$2&lt;&gt;0,IF(O40*(1+$O$5)^2&lt;=$U$2*0.25,O40*L40/3*(1+$O$5)^2,$U$2*0.25*L40/3),O40*L40/3*(1+$O$5)^2),0)</f>
        <v>0</v>
      </c>
      <c r="E40" s="55">
        <f>IF($J$5&gt;3,IF($U$2&lt;&gt;0,IF(O40*(1+$O$5)^3&lt;=$U$2*0.25,O40*M40/3*(1+$O$5)^3,$U$2*0.25*M40/3),O40*M40/3*(1+$O$5)^3),0)</f>
        <v>0</v>
      </c>
      <c r="F40" s="55">
        <f>IF($J$5&gt;4,IF($U$2&lt;&gt;0,IF(O40*(1+$O$5)^4&lt;=$U$2*0.25,O40*N40/3*(1+$O$5)^4,$U$2*0.25*N40/3),O40*N40/3*(1+$O$5)^4),0)</f>
        <v>0</v>
      </c>
      <c r="G40" s="54">
        <f>SUM(B40:F40)</f>
        <v>0</v>
      </c>
      <c r="H40" s="14"/>
      <c r="I40" s="106" t="s">
        <v>17</v>
      </c>
      <c r="J40" s="16">
        <v>0</v>
      </c>
      <c r="K40" s="16">
        <f>IF($J$5&gt;1,J40,0)</f>
        <v>0</v>
      </c>
      <c r="L40" s="16">
        <f>IF($J$5&gt;2,K40,0)</f>
        <v>0</v>
      </c>
      <c r="M40" s="16">
        <f>IF($J$5&gt;3,L40,0)</f>
        <v>0</v>
      </c>
      <c r="N40" s="16">
        <f>IF($J$5&gt;4,M40,0)</f>
        <v>0</v>
      </c>
      <c r="O40" s="145">
        <f>IF(U41="A",IF($U$2&lt;&gt;0,IF(T41/9*3&gt;($U$2/12*3),($U$2/12*3),T41/9*3),T41/9*3),0)</f>
        <v>0</v>
      </c>
      <c r="P40" s="157"/>
      <c r="Q40" s="157">
        <f>((SUM(J37:N37)-SUM(J39:N39)*9)/(CEILING($J$5*3,3)))*3</f>
        <v>0</v>
      </c>
      <c r="R40" s="12"/>
      <c r="S40" s="12"/>
      <c r="T40" s="1"/>
      <c r="U40" s="92"/>
      <c r="V40" s="92"/>
    </row>
    <row r="41" spans="1:22" outlineLevel="1" x14ac:dyDescent="0.25">
      <c r="A41" s="19"/>
      <c r="B41" s="55"/>
      <c r="C41" s="55"/>
      <c r="D41" s="56"/>
      <c r="E41" s="56"/>
      <c r="F41" s="56"/>
      <c r="G41" s="57"/>
      <c r="H41" s="20"/>
      <c r="I41" s="106" t="s">
        <v>109</v>
      </c>
      <c r="J41" s="147">
        <f>SUM(B38:B40)*$V41</f>
        <v>0</v>
      </c>
      <c r="K41" s="147">
        <f>SUM(C38:C40)*$V41</f>
        <v>0</v>
      </c>
      <c r="L41" s="147">
        <f>SUM(D38:D40)*$V41</f>
        <v>0</v>
      </c>
      <c r="M41" s="147">
        <f>SUM(E38:E40)*$V41</f>
        <v>0</v>
      </c>
      <c r="N41" s="147">
        <f>SUM(F38:F40)*$V41</f>
        <v>0</v>
      </c>
      <c r="O41" s="146"/>
      <c r="P41" s="157"/>
      <c r="Q41" s="157"/>
      <c r="R41" s="12"/>
      <c r="S41" s="12"/>
      <c r="T41" s="143">
        <v>0</v>
      </c>
      <c r="U41" s="144"/>
      <c r="V41" s="148">
        <f>$J$79</f>
        <v>0</v>
      </c>
    </row>
    <row r="42" spans="1:22" outlineLevel="1" x14ac:dyDescent="0.25">
      <c r="A42" s="19"/>
      <c r="B42" s="55"/>
      <c r="C42" s="55"/>
      <c r="D42" s="56"/>
      <c r="E42" s="56"/>
      <c r="F42" s="56"/>
      <c r="G42" s="57"/>
      <c r="H42" s="20"/>
      <c r="I42" s="124"/>
      <c r="J42" s="91"/>
      <c r="K42" s="91"/>
      <c r="L42" s="91"/>
      <c r="M42" s="91"/>
      <c r="N42" s="91"/>
      <c r="O42" s="22"/>
      <c r="P42" s="157"/>
      <c r="Q42" s="157"/>
      <c r="R42" s="12"/>
      <c r="S42" s="12"/>
      <c r="T42" s="90"/>
      <c r="U42" s="92"/>
      <c r="V42" s="92"/>
    </row>
    <row r="43" spans="1:22" outlineLevel="1" x14ac:dyDescent="0.25">
      <c r="A43" s="13"/>
      <c r="B43" s="55"/>
      <c r="C43" s="55"/>
      <c r="D43" s="55"/>
      <c r="E43" s="55"/>
      <c r="F43" s="55"/>
      <c r="G43" s="54"/>
      <c r="H43" s="14"/>
      <c r="I43" s="42"/>
      <c r="J43" s="5" t="s">
        <v>6</v>
      </c>
      <c r="K43" s="5" t="s">
        <v>5</v>
      </c>
      <c r="L43" s="5" t="s">
        <v>7</v>
      </c>
      <c r="M43" s="5" t="s">
        <v>8</v>
      </c>
      <c r="N43" s="5" t="s">
        <v>9</v>
      </c>
      <c r="O43" s="102" t="s">
        <v>51</v>
      </c>
      <c r="P43" s="154"/>
      <c r="Q43" s="154"/>
      <c r="R43" s="1"/>
      <c r="S43" s="1"/>
      <c r="T43" s="1"/>
      <c r="U43" s="90"/>
      <c r="V43" s="92"/>
    </row>
    <row r="44" spans="1:22" outlineLevel="1" x14ac:dyDescent="0.25">
      <c r="A44" s="23" t="str">
        <f>"TBN, Post-doc ("&amp;J44&amp;")"</f>
        <v>TBN, Post-doc ()</v>
      </c>
      <c r="B44" s="55"/>
      <c r="C44" s="55"/>
      <c r="D44" s="56"/>
      <c r="E44" s="56"/>
      <c r="F44" s="56"/>
      <c r="G44" s="54"/>
      <c r="H44" s="14"/>
      <c r="I44" s="106" t="s">
        <v>16</v>
      </c>
      <c r="J44" s="24"/>
      <c r="K44" s="125"/>
      <c r="L44" s="125"/>
      <c r="M44" s="125"/>
      <c r="N44" s="125"/>
      <c r="O44" s="15"/>
      <c r="P44" s="154"/>
      <c r="Q44" s="154"/>
      <c r="R44" s="1"/>
      <c r="S44" s="1"/>
      <c r="T44" s="1"/>
      <c r="U44" s="92"/>
      <c r="V44" s="92"/>
    </row>
    <row r="45" spans="1:22" outlineLevel="1" x14ac:dyDescent="0.25">
      <c r="A45" s="13" t="str">
        <f>ROUND(J45*100,2)&amp;"% FY Effort, "&amp;ROUND(J45*12,2)&amp;" Calendar Months"</f>
        <v>0% FY Effort, 0 Calendar Months</v>
      </c>
      <c r="B45" s="55">
        <f>J44*O44*J45</f>
        <v>0</v>
      </c>
      <c r="C45" s="55">
        <f>IF($J$5&gt;1, O44*K45*(1+$O$5), 0)</f>
        <v>0</v>
      </c>
      <c r="D45" s="55">
        <f>IF($J$5&gt;2, O44*L45*(1+$O$5)^2, 0)</f>
        <v>0</v>
      </c>
      <c r="E45" s="55">
        <f>IF($J$5&gt;3, O44*M45*(1+$O$5)^3, 0)</f>
        <v>0</v>
      </c>
      <c r="F45" s="55">
        <f>IF($J$5&gt;4, O44*N45*(1+$O$5)^4, 0)</f>
        <v>0</v>
      </c>
      <c r="G45" s="54">
        <f>SUM(B45:F45)</f>
        <v>0</v>
      </c>
      <c r="H45" s="14"/>
      <c r="I45" s="107" t="s">
        <v>26</v>
      </c>
      <c r="J45" s="26">
        <v>0</v>
      </c>
      <c r="K45" s="26">
        <f>IF($J$5&gt;1,J45,0)</f>
        <v>0</v>
      </c>
      <c r="L45" s="26">
        <f>IF($J$5&gt;2,K45,0)</f>
        <v>0</v>
      </c>
      <c r="M45" s="26">
        <f>IF($J$5&gt;3,L45,0)</f>
        <v>0</v>
      </c>
      <c r="N45" s="26">
        <f>IF($J$5&gt;4,M45,0)</f>
        <v>0</v>
      </c>
      <c r="O45" s="22"/>
      <c r="P45" s="154"/>
      <c r="Q45" s="154"/>
      <c r="R45" s="1"/>
      <c r="S45" s="1"/>
      <c r="T45" s="1"/>
      <c r="U45" s="92"/>
      <c r="V45" s="92"/>
    </row>
    <row r="46" spans="1:22" outlineLevel="1" x14ac:dyDescent="0.25">
      <c r="A46" s="13"/>
      <c r="B46" s="55"/>
      <c r="C46" s="55"/>
      <c r="D46" s="56"/>
      <c r="E46" s="56"/>
      <c r="F46" s="56"/>
      <c r="G46" s="54"/>
      <c r="H46" s="14"/>
      <c r="I46" s="4"/>
      <c r="O46" s="49" t="s">
        <v>51</v>
      </c>
      <c r="P46" s="154"/>
      <c r="Q46" s="154"/>
      <c r="R46" s="1"/>
      <c r="S46" s="1"/>
      <c r="T46" s="1"/>
      <c r="U46" s="92"/>
      <c r="V46" s="92"/>
    </row>
    <row r="47" spans="1:22" outlineLevel="1" x14ac:dyDescent="0.25">
      <c r="A47" s="23" t="str">
        <f>"TBN, Post-doc ("&amp;J47&amp;")"</f>
        <v>TBN, Post-doc ()</v>
      </c>
      <c r="B47" s="55"/>
      <c r="C47" s="55"/>
      <c r="D47" s="56"/>
      <c r="E47" s="56"/>
      <c r="F47" s="56"/>
      <c r="G47" s="54"/>
      <c r="H47" s="14"/>
      <c r="I47" s="106" t="s">
        <v>16</v>
      </c>
      <c r="J47" s="24"/>
      <c r="K47" s="125"/>
      <c r="L47" s="125"/>
      <c r="M47" s="125"/>
      <c r="N47" s="125"/>
      <c r="O47" s="15"/>
      <c r="P47" s="154"/>
      <c r="Q47" s="154"/>
      <c r="R47" s="1"/>
      <c r="S47" s="1"/>
      <c r="T47" s="1"/>
      <c r="U47" s="92"/>
      <c r="V47" s="92"/>
    </row>
    <row r="48" spans="1:22" outlineLevel="1" x14ac:dyDescent="0.25">
      <c r="A48" s="13" t="str">
        <f>ROUND(J48*100,2)&amp;"% FY Effort, "&amp;ROUND(J48*12,2)&amp;" Calendar Months"</f>
        <v>0% FY Effort, 0 Calendar Months</v>
      </c>
      <c r="B48" s="55">
        <f>J47*O47*J48</f>
        <v>0</v>
      </c>
      <c r="C48" s="55">
        <f>IF($J$5&gt;1, O47*K48*(1+$O$5), 0)</f>
        <v>0</v>
      </c>
      <c r="D48" s="55">
        <f>IF($J$5&gt;2, O47*L48*(1+$O$5)^2, 0)</f>
        <v>0</v>
      </c>
      <c r="E48" s="55">
        <f>IF($J$5&gt;3, O47*M48*(1+$O$5)^3, 0)</f>
        <v>0</v>
      </c>
      <c r="F48" s="55">
        <f>IF($J$5&gt;4, O47*N48*(1+$O$5)^4, 0)</f>
        <v>0</v>
      </c>
      <c r="G48" s="54">
        <f>SUM(B48:F48)</f>
        <v>0</v>
      </c>
      <c r="H48" s="14"/>
      <c r="I48" s="107" t="s">
        <v>26</v>
      </c>
      <c r="J48" s="26">
        <v>0</v>
      </c>
      <c r="K48" s="26">
        <f>IF($J$5&gt;1,J48,0)</f>
        <v>0</v>
      </c>
      <c r="L48" s="26">
        <f>IF($J$5&gt;2,K48,0)</f>
        <v>0</v>
      </c>
      <c r="M48" s="26">
        <f>IF($J$5&gt;3,L48,0)</f>
        <v>0</v>
      </c>
      <c r="N48" s="26">
        <f>IF($J$5&gt;4,M48,0)</f>
        <v>0</v>
      </c>
      <c r="O48" s="22"/>
      <c r="P48" s="154"/>
      <c r="Q48" s="154"/>
      <c r="R48" s="1"/>
      <c r="S48" s="1"/>
      <c r="T48" s="1"/>
      <c r="U48" s="92"/>
      <c r="V48" s="92"/>
    </row>
    <row r="49" spans="1:22" outlineLevel="1" x14ac:dyDescent="0.25">
      <c r="A49" s="13"/>
      <c r="B49" s="55"/>
      <c r="C49" s="55"/>
      <c r="D49" s="55"/>
      <c r="E49" s="55"/>
      <c r="F49" s="55"/>
      <c r="G49" s="54"/>
      <c r="H49" s="14"/>
      <c r="I49" s="4"/>
      <c r="O49" s="49" t="s">
        <v>51</v>
      </c>
      <c r="P49" s="154"/>
      <c r="Q49" s="154"/>
      <c r="R49" s="1"/>
      <c r="S49" s="1"/>
      <c r="T49" s="1"/>
      <c r="U49" s="92"/>
      <c r="V49" s="92"/>
    </row>
    <row r="50" spans="1:22" outlineLevel="1" x14ac:dyDescent="0.25">
      <c r="A50" s="23" t="str">
        <f>"TBN, Post-doc ("&amp;J50&amp;")"</f>
        <v>TBN, Post-doc ()</v>
      </c>
      <c r="B50" s="55"/>
      <c r="C50" s="55"/>
      <c r="D50" s="55"/>
      <c r="E50" s="55"/>
      <c r="F50" s="55"/>
      <c r="G50" s="54"/>
      <c r="H50" s="14"/>
      <c r="I50" s="106" t="s">
        <v>16</v>
      </c>
      <c r="J50" s="24"/>
      <c r="K50" s="125"/>
      <c r="L50" s="125"/>
      <c r="M50" s="125"/>
      <c r="N50" s="125"/>
      <c r="O50" s="15"/>
      <c r="P50" s="154"/>
      <c r="Q50" s="154"/>
      <c r="R50" s="1"/>
      <c r="S50" s="1"/>
      <c r="T50" s="1"/>
      <c r="U50" s="92"/>
      <c r="V50" s="92"/>
    </row>
    <row r="51" spans="1:22" outlineLevel="1" x14ac:dyDescent="0.25">
      <c r="A51" s="13" t="str">
        <f>ROUND(J51*100,2)&amp;"% FY Effort, "&amp;ROUND(J51*12,2)&amp;" Calendar Months"</f>
        <v>0% FY Effort, 0 Calendar Months</v>
      </c>
      <c r="B51" s="55">
        <f>J50*O50*J51</f>
        <v>0</v>
      </c>
      <c r="C51" s="55">
        <f>IF($J$5&gt;1, O50*K51*(1+$O$5), 0)</f>
        <v>0</v>
      </c>
      <c r="D51" s="55">
        <f>IF($J$5&gt;2, O50*L51*(1+$O$5)^2, 0)</f>
        <v>0</v>
      </c>
      <c r="E51" s="55">
        <f>IF($J$5&gt;3, O50*M51*(1+$O$5)^3, 0)</f>
        <v>0</v>
      </c>
      <c r="F51" s="55">
        <f>IF($J$5&gt;4, O50*N51*(1+$O$5)^4, 0)</f>
        <v>0</v>
      </c>
      <c r="G51" s="54">
        <f>SUM(B51:F51)</f>
        <v>0</v>
      </c>
      <c r="H51" s="14"/>
      <c r="I51" s="107" t="s">
        <v>26</v>
      </c>
      <c r="J51" s="26">
        <v>0</v>
      </c>
      <c r="K51" s="26">
        <f>IF($J$5&gt;1,J51,0)</f>
        <v>0</v>
      </c>
      <c r="L51" s="26">
        <f>IF($J$5&gt;2,K51,0)</f>
        <v>0</v>
      </c>
      <c r="M51" s="26">
        <f>IF($J$5&gt;3,L51,0)</f>
        <v>0</v>
      </c>
      <c r="N51" s="26">
        <f>IF($J$5&gt;4,M51,0)</f>
        <v>0</v>
      </c>
      <c r="O51" s="22"/>
      <c r="P51" s="154"/>
      <c r="Q51" s="154"/>
      <c r="R51" s="1"/>
      <c r="S51" s="1"/>
      <c r="T51" s="1"/>
      <c r="U51" s="92"/>
      <c r="V51" s="92"/>
    </row>
    <row r="52" spans="1:22" outlineLevel="1" x14ac:dyDescent="0.25">
      <c r="B52" s="55"/>
      <c r="C52" s="55"/>
      <c r="D52" s="56"/>
      <c r="E52" s="56"/>
      <c r="F52" s="56"/>
      <c r="G52" s="54"/>
      <c r="H52" s="14"/>
      <c r="I52" s="53" t="s">
        <v>48</v>
      </c>
      <c r="J52" s="105" t="b">
        <f>IF(J54&gt;0%,IF(J54&lt;50%,IF(J54&gt;0,($U$3/2),0),$U$3),IF(J55&gt;0%,IF(J55&lt;50%,IF(J55&gt;0,($U$3/2),0),$U$3)))</f>
        <v>0</v>
      </c>
      <c r="K52" s="105" t="b">
        <f>IF(K54&gt;0%,IF(K54&lt;50%,IF(K54&gt;0,(($U$3*(1+$V$3))/2),0),($U$3*(1+$V$3))),IF(K55&gt;0%,IF(K55&lt;50%,IF(K55&gt;0,(($U$3*(1+$V$3))/2),0),($U$3*(1+$V$3)))))</f>
        <v>0</v>
      </c>
      <c r="L52" s="105" t="b">
        <f>IF(L54&gt;0%,IF(L54&lt;50%,IF(L54&gt;0,(($U$3*(1+$V$3)^2)/2),0),($U$3*(1+$V$3)^2)),IF(L55&gt;0%,IF(L55&lt;50%,IF(L55&gt;0,(($U$3*(1+$V$3)^2)/2),0),($U$3*(1+$V$3)^2))))</f>
        <v>0</v>
      </c>
      <c r="M52" s="105" t="b">
        <f>IF(M54&gt;0%,IF(M54&lt;50%,IF(M54&gt;0,(($U$3*(1+$V$3)^3)/2),0),($U$3*(1+$V$3)^3)),IF(M55&gt;0%,IF(M55&lt;50%,IF(M55&gt;0,(($U$3*(1+$V$3)^3)/2),0),($U$3*(1+$V$3)^3))))</f>
        <v>0</v>
      </c>
      <c r="N52" s="105" t="b">
        <f>IF(N54&gt;0%,IF(N54&lt;50%,IF(N54&gt;0,(($U$3*(1+$V$3)^4)/2),0),($U$3*(1+$V$3)^4)),IF(N55&gt;0%,IF(N55&lt;50%,IF(N55&gt;0,(($U$3*(1+$V$3)^4)/2),0),($U$3*(1+$V$3)^4))))</f>
        <v>0</v>
      </c>
      <c r="O52" s="49" t="s">
        <v>51</v>
      </c>
      <c r="P52" s="153"/>
      <c r="Q52" s="153"/>
      <c r="R52" s="1"/>
      <c r="S52" s="18"/>
      <c r="T52"/>
      <c r="U52"/>
      <c r="V52" s="92"/>
    </row>
    <row r="53" spans="1:22" outlineLevel="1" x14ac:dyDescent="0.25">
      <c r="A53" s="23" t="s">
        <v>85</v>
      </c>
      <c r="B53" s="55"/>
      <c r="C53" s="55"/>
      <c r="D53" s="56"/>
      <c r="E53" s="56"/>
      <c r="F53" s="56"/>
      <c r="G53" s="54"/>
      <c r="H53" s="14"/>
      <c r="I53" s="106" t="s">
        <v>128</v>
      </c>
      <c r="J53" s="5">
        <f>IF($U53="F",J54*12,SUM(J55*9,J56))</f>
        <v>0</v>
      </c>
      <c r="K53" s="5">
        <f>IF($U53="F",K54*12,SUM(K55*9,K56))</f>
        <v>0</v>
      </c>
      <c r="L53" s="5">
        <f>IF($U53="F",L54*12,SUM(L55*9,L56))</f>
        <v>0</v>
      </c>
      <c r="M53" s="5">
        <f>IF($U53="F",M54*12,SUM(M55*9,M56))</f>
        <v>0</v>
      </c>
      <c r="N53" s="5">
        <f>IF($U53="F",N54*12,SUM(N55*9,N56))</f>
        <v>0</v>
      </c>
      <c r="O53" s="49"/>
      <c r="P53" s="153" t="s">
        <v>126</v>
      </c>
      <c r="Q53" s="153" t="s">
        <v>127</v>
      </c>
      <c r="R53" s="1"/>
      <c r="S53" s="1"/>
      <c r="T53" s="143">
        <v>0</v>
      </c>
      <c r="U53" s="144"/>
    </row>
    <row r="54" spans="1:22" outlineLevel="1" x14ac:dyDescent="0.25">
      <c r="A54" s="13" t="str">
        <f>ROUND(P54*100, 2)&amp;"% Avg. Fiscal Effort, "&amp;ROUND(Q54, 2)&amp;" Avg. Calendar Months"</f>
        <v>0% Avg. Fiscal Effort, 0 Avg. Calendar Months</v>
      </c>
      <c r="B54" s="55">
        <f>O54*J54</f>
        <v>0</v>
      </c>
      <c r="C54" s="55">
        <f>IF($J$5&gt;1,IF($U$2&lt;&gt;0,IF(O54*(1+$O$5)&lt;=$U$2,O54*K54*(1+$O$5),$U$2*K54),O54*K54*(1+$O$5)),0)</f>
        <v>0</v>
      </c>
      <c r="D54" s="55">
        <f>IF($J$5&gt;2,IF($U$2&lt;&gt;0,IF(O54*(1+$O$5)^2&lt;=$U$2,O54*L54*(1+$O$5)^2,$U$2*L54),O54*L54*(1+$O$5)^2),0)</f>
        <v>0</v>
      </c>
      <c r="E54" s="55">
        <f>IF($J$5&gt;3,IF($U$2&lt;&gt;0,IF(O54*(1+$O$5)^3&lt;=$U$2,O54*M54*(1+$O$5)^3,$U$2*M54),O54*M54*(1+$O$5)^3),0)</f>
        <v>0</v>
      </c>
      <c r="F54" s="55">
        <f>IF($J$5&gt;4,IF($U$2&lt;&gt;0,IF(O54*(1+$O$5)^4&lt;=$U$2,O54*N54*(1+$O$5)^4,$U$2*N54),O54*N54*(1+$O$5)^4),0)</f>
        <v>0</v>
      </c>
      <c r="G54" s="54">
        <f>SUM(B54:F54)</f>
        <v>0</v>
      </c>
      <c r="H54" s="14"/>
      <c r="I54" s="106" t="s">
        <v>26</v>
      </c>
      <c r="J54" s="17">
        <v>0</v>
      </c>
      <c r="K54" s="17">
        <f>IF($J$5&gt;1,J54,0)</f>
        <v>0</v>
      </c>
      <c r="L54" s="17">
        <f>IF($J$5&gt;2,K54,0)</f>
        <v>0</v>
      </c>
      <c r="M54" s="17">
        <f>IF($J$5&gt;3,L54,0)</f>
        <v>0</v>
      </c>
      <c r="N54" s="17">
        <f>IF($J$5&gt;4,M54,0)</f>
        <v>0</v>
      </c>
      <c r="O54" s="145">
        <f>IF(U53="F",IF($U$2&lt;&gt;0,IF(T53&gt;$U$2,$U$2,T53),T53),0)</f>
        <v>0</v>
      </c>
      <c r="P54" s="154">
        <f>SUM(J53:N53)/(ROUNDUP($J$5,0)*12)</f>
        <v>0</v>
      </c>
      <c r="Q54" s="155">
        <f>(SUM(J53:N53)/(CEILING($J$5*12,12)))*12</f>
        <v>0</v>
      </c>
      <c r="R54" s="1"/>
      <c r="S54" s="1"/>
      <c r="T54" s="90"/>
      <c r="U54" s="92"/>
      <c r="V54" s="92"/>
    </row>
    <row r="55" spans="1:22" outlineLevel="1" x14ac:dyDescent="0.25">
      <c r="A55" s="481" t="str">
        <f>ROUND(P54*100,2)&amp;"% Annualized Effort, "&amp;ROUND(Q55,2)&amp;" Avg. Academic Months
"&amp;IF(SUM(J56:N56)&gt;0," and "&amp;Q56 &amp;" Avg. Summer Months", "")</f>
        <v xml:space="preserve">0% Annualized Effort, 0 Avg. Academic Months
</v>
      </c>
      <c r="B55" s="55">
        <f>J55*O55</f>
        <v>0</v>
      </c>
      <c r="C55" s="55">
        <f>IF($J$5&gt;1,IF($U$2&lt;&gt;0,IF(O55*(1+$O$5)&lt;=$U$2*0.75,O55*K55*(1+$O$5),$U$2*0.75*K55),O55*K55*(1+$O$5)),0)</f>
        <v>0</v>
      </c>
      <c r="D55" s="55">
        <f>IF($J$5&gt;2,IF($U$2&lt;&gt;0,IF(O55*(1+$O$5)^2&lt;=$U$2*0.75,O55*L55*(1+$O$5)^2,$U$2*0.75*L55),O55*L55*(1+$O$5)^2),0)</f>
        <v>0</v>
      </c>
      <c r="E55" s="55">
        <f>IF($J$5&gt;3,IF($U$2&lt;&gt;0,IF(O55*(1+$O$5)^3&lt;=$U$2*0.75,O55*M55*(1+$O$5)^3,$U$2*0.75*M55),O55*M55*(1+$O$5)^3),0)</f>
        <v>0</v>
      </c>
      <c r="F55" s="55">
        <f>IF($J$5&gt;4,IF($U$2&lt;&gt;0,IF(O55*(1+$O$5)^4&lt;=$U$2*0.75,O55*N55*(1+$O$5)^4,$U$2*0.75*N55),O55*N55*(1+$O$5)^4),0)</f>
        <v>0</v>
      </c>
      <c r="G55" s="54">
        <f>SUM(B55:F55)</f>
        <v>0</v>
      </c>
      <c r="H55" s="14"/>
      <c r="I55" s="106" t="s">
        <v>15</v>
      </c>
      <c r="J55" s="17">
        <v>0</v>
      </c>
      <c r="K55" s="17">
        <f>IF($J$5&gt;1,J55,0)</f>
        <v>0</v>
      </c>
      <c r="L55" s="17">
        <f>IF($J$5&gt;2,K55,0)</f>
        <v>0</v>
      </c>
      <c r="M55" s="17">
        <f>IF($J$5&gt;3,L55,0)</f>
        <v>0</v>
      </c>
      <c r="N55" s="17">
        <f>IF($J$5&gt;4,M55,0)</f>
        <v>0</v>
      </c>
      <c r="O55" s="145">
        <f>IF(U53="A",IF($U$2&lt;&gt;0,IF(T53&gt;($U$2/12*9),($U$2/12*9),T53),T53),0)</f>
        <v>0</v>
      </c>
      <c r="P55" s="166"/>
      <c r="Q55" s="156">
        <f>((SUM(J53:N53)-SUM(J56:N56))/(CEILING($J$5*9,9)))*9</f>
        <v>0</v>
      </c>
      <c r="R55" s="12"/>
      <c r="S55" s="12"/>
      <c r="T55" s="90"/>
      <c r="U55" s="92"/>
      <c r="V55" s="92"/>
    </row>
    <row r="56" spans="1:22" outlineLevel="1" x14ac:dyDescent="0.25">
      <c r="A56" s="481"/>
      <c r="B56" s="55">
        <f>J56/3*O56</f>
        <v>0</v>
      </c>
      <c r="C56" s="55">
        <f>IF($J$5&gt;1,IF($U$2&lt;&gt;0,IF(O56*(1+$O$5)&lt;=$U$2*0.25,O56*K56/3*(1+$O$5),$U$2*0.25*K56/3),O56*K56/3*(1+$O$5)),0)</f>
        <v>0</v>
      </c>
      <c r="D56" s="55">
        <f>IF($J$5&gt;2,IF($U$2&lt;&gt;0,IF(O56*(1+$O$5)^2&lt;=$U$2*0.25,O56*L56/3*(1+$O$5)^2,$U$2*0.25*L56/3),O56*L56/3*(1+$O$5)^2),0)</f>
        <v>0</v>
      </c>
      <c r="E56" s="55">
        <f>IF($J$5&gt;3,IF($U$2&lt;&gt;0,IF(O56*(1+$O$5)^3&lt;=$U$2*0.25,O56*M56/3*(1+$O$5)^3,$U$2*0.25*M56/3),O56*M56/3*(1+$O$5)^3),0)</f>
        <v>0</v>
      </c>
      <c r="F56" s="55">
        <f>IF($J$5&gt;4,IF($U$2&lt;&gt;0,IF(O56*(1+$O$5)^4&lt;=$U$2*0.25,O56*N56/3*(1+$O$5)^4,$U$2*0.25*N56/3),O56*N56/3*(1+$O$5)^4),0)</f>
        <v>0</v>
      </c>
      <c r="G56" s="54">
        <f>SUM(B56:F56)</f>
        <v>0</v>
      </c>
      <c r="H56" s="14"/>
      <c r="I56" s="107" t="s">
        <v>17</v>
      </c>
      <c r="J56" s="188">
        <v>0</v>
      </c>
      <c r="K56" s="188">
        <f>IF($J$5&gt;1,J56,0)</f>
        <v>0</v>
      </c>
      <c r="L56" s="188">
        <f>IF($J$5&gt;2,K56,0)</f>
        <v>0</v>
      </c>
      <c r="M56" s="188">
        <f>IF($J$5&gt;3,L56,0)</f>
        <v>0</v>
      </c>
      <c r="N56" s="188">
        <f>IF($J$5&gt;4,M56,0)</f>
        <v>0</v>
      </c>
      <c r="O56" s="167">
        <f>IF(U53="A",IF($U$2&lt;&gt;0,IF(T53/9*3&gt;($U$2/12*3),($U$2/12*3),T53/9*3),T53/9*3),0)</f>
        <v>0</v>
      </c>
      <c r="P56" s="157"/>
      <c r="Q56" s="157">
        <f>((SUM(J53:N53)-SUM(J55:N55)*9)/(CEILING($J$5*3,3)))*3</f>
        <v>0</v>
      </c>
      <c r="R56" s="12"/>
      <c r="S56" s="12"/>
      <c r="T56" s="1"/>
      <c r="U56" s="92"/>
      <c r="V56" s="148"/>
    </row>
    <row r="57" spans="1:22" outlineLevel="1" x14ac:dyDescent="0.25">
      <c r="B57" s="55"/>
      <c r="C57" s="55"/>
      <c r="D57" s="56"/>
      <c r="E57" s="56"/>
      <c r="F57" s="56"/>
      <c r="G57" s="54"/>
      <c r="H57" s="14"/>
      <c r="I57" s="53" t="s">
        <v>48</v>
      </c>
      <c r="J57" s="105" t="b">
        <f>IF(J59&gt;0%,IF(J59&lt;50%,IF(J59&gt;0,($U$3/2),0),$U$3),IF(J60&gt;0%,IF(J60&lt;50%,IF(J60&gt;0,($U$3/2),0),$U$3)))</f>
        <v>0</v>
      </c>
      <c r="K57" s="105" t="b">
        <f>IF(K59&gt;0%,IF(K59&lt;50%,IF(K59&gt;0,(($U$3*(1+$V$3))/2),0),($U$3*(1+$V$3))),IF(K60&gt;0%,IF(K60&lt;50%,IF(K60&gt;0,(($U$3*(1+$V$3))/2),0),($U$3*(1+$V$3)))))</f>
        <v>0</v>
      </c>
      <c r="L57" s="105" t="b">
        <f>IF(L59&gt;0%,IF(L59&lt;50%,IF(L59&gt;0,(($U$3*(1+$V$3)^2)/2),0),($U$3*(1+$V$3)^2)),IF(L60&gt;0%,IF(L60&lt;50%,IF(L60&gt;0,(($U$3*(1+$V$3)^2)/2),0),($U$3*(1+$V$3)^2))))</f>
        <v>0</v>
      </c>
      <c r="M57" s="105" t="b">
        <f>IF(M59&gt;0%,IF(M59&lt;50%,IF(M59&gt;0,(($U$3*(1+$V$3)^3)/2),0),($U$3*(1+$V$3)^3)),IF(M60&gt;0%,IF(M60&lt;50%,IF(M60&gt;0,(($U$3*(1+$V$3)^3)/2),0),($U$3*(1+$V$3)^3))))</f>
        <v>0</v>
      </c>
      <c r="N57" s="105" t="b">
        <f>IF(N59&gt;0%,IF(N59&lt;50%,IF(N59&gt;0,(($U$3*(1+$V$3)^4)/2),0),($U$3*(1+$V$3)^4)),IF(N60&gt;0%,IF(N60&lt;50%,IF(N60&gt;0,(($U$3*(1+$V$3)^4)/2),0),($U$3*(1+$V$3)^4))))</f>
        <v>0</v>
      </c>
      <c r="O57" s="49" t="s">
        <v>51</v>
      </c>
      <c r="P57" s="153"/>
      <c r="Q57" s="153"/>
      <c r="R57" s="1"/>
      <c r="S57" s="18"/>
      <c r="T57" s="1"/>
    </row>
    <row r="58" spans="1:22" outlineLevel="1" x14ac:dyDescent="0.25">
      <c r="A58" s="23" t="s">
        <v>85</v>
      </c>
      <c r="B58" s="55"/>
      <c r="C58" s="55"/>
      <c r="D58" s="56"/>
      <c r="E58" s="56"/>
      <c r="F58" s="56"/>
      <c r="G58" s="54"/>
      <c r="H58" s="14"/>
      <c r="I58" s="106" t="s">
        <v>128</v>
      </c>
      <c r="J58" s="5">
        <f>IF($U58="F",J59*12,SUM(J60*9,J61))</f>
        <v>0</v>
      </c>
      <c r="K58" s="5">
        <f>IF($U58="F",K59*12,SUM(K60*9,K61))</f>
        <v>0</v>
      </c>
      <c r="L58" s="5">
        <f>IF($U58="F",L59*12,SUM(L60*9,L61))</f>
        <v>0</v>
      </c>
      <c r="M58" s="5">
        <f>IF($U58="F",M59*12,SUM(M60*9,M61))</f>
        <v>0</v>
      </c>
      <c r="N58" s="5">
        <f>IF($U58="F",N59*12,SUM(N60*9,N61))</f>
        <v>0</v>
      </c>
      <c r="O58" s="49"/>
      <c r="P58" s="153" t="s">
        <v>126</v>
      </c>
      <c r="Q58" s="153" t="s">
        <v>127</v>
      </c>
      <c r="R58" s="1"/>
      <c r="S58" s="1"/>
      <c r="T58" s="143">
        <v>0</v>
      </c>
      <c r="U58" s="144"/>
    </row>
    <row r="59" spans="1:22" outlineLevel="1" x14ac:dyDescent="0.25">
      <c r="A59" s="13" t="str">
        <f>ROUND(P59*100, 2)&amp;"% Avg. Fiscal Effort, "&amp;ROUND(Q59, 2)&amp;" Avg. Calendar Months"</f>
        <v>0% Avg. Fiscal Effort, 0 Avg. Calendar Months</v>
      </c>
      <c r="B59" s="55">
        <f>O59*J59</f>
        <v>0</v>
      </c>
      <c r="C59" s="55">
        <f>IF($J$5&gt;1,IF($U$2&lt;&gt;0,IF(O59*(1+$O$5)&lt;=$U$2,O59*K59*(1+$O$5),$U$2*K59),O59*K59*(1+$O$5)),0)</f>
        <v>0</v>
      </c>
      <c r="D59" s="55">
        <f>IF($J$5&gt;2,IF($U$2&lt;&gt;0,IF(O59*(1+$O$5)^2&lt;=$U$2,O59*L59*(1+$O$5)^2,$U$2*L59),O59*L59*(1+$O$5)^2),0)</f>
        <v>0</v>
      </c>
      <c r="E59" s="55">
        <f>IF($J$5&gt;3,IF($U$2&lt;&gt;0,IF(O59*(1+$O$5)^3&lt;=$U$2,O59*M59*(1+$O$5)^3,$U$2*M59),O59*M59*(1+$O$5)^3),0)</f>
        <v>0</v>
      </c>
      <c r="F59" s="55">
        <f>IF($J$5&gt;4,IF($U$2&lt;&gt;0,IF(O59*(1+$O$5)^4&lt;=$U$2,O59*N59*(1+$O$5)^4,$U$2*N59),O59*N59*(1+$O$5)^4),0)</f>
        <v>0</v>
      </c>
      <c r="G59" s="54">
        <f>SUM(B59:F59)</f>
        <v>0</v>
      </c>
      <c r="H59" s="14"/>
      <c r="I59" s="106" t="s">
        <v>26</v>
      </c>
      <c r="J59" s="17">
        <v>0</v>
      </c>
      <c r="K59" s="17">
        <f>IF($J$5&gt;1,J59,0)</f>
        <v>0</v>
      </c>
      <c r="L59" s="17">
        <f>IF($J$5&gt;2,K59,0)</f>
        <v>0</v>
      </c>
      <c r="M59" s="17">
        <f>IF($J$5&gt;3,L59,0)</f>
        <v>0</v>
      </c>
      <c r="N59" s="17">
        <f>IF($J$5&gt;4,M59,0)</f>
        <v>0</v>
      </c>
      <c r="O59" s="145">
        <f>IF(U58="F",IF($U$2&lt;&gt;0,IF(T58&gt;$U$2,$U$2,T58),T58),0)</f>
        <v>0</v>
      </c>
      <c r="P59" s="154">
        <f>SUM(J58:N58)/(ROUNDUP($J$5,0)*12)</f>
        <v>0</v>
      </c>
      <c r="Q59" s="155">
        <f>(SUM(J58:N58)/(CEILING($J$5*12,12)))*12</f>
        <v>0</v>
      </c>
      <c r="R59" s="1"/>
      <c r="S59" s="1"/>
      <c r="T59" s="90"/>
      <c r="U59" s="92"/>
      <c r="V59" s="92"/>
    </row>
    <row r="60" spans="1:22" outlineLevel="1" x14ac:dyDescent="0.25">
      <c r="A60" s="481" t="str">
        <f>ROUND(P59*100,2)&amp;"% Annualized Effort, "&amp;ROUND(Q60,2)&amp;" Avg. Academic Months
"&amp;IF(SUM(J61:N61)&gt;0," and "&amp;Q61 &amp;" Avg. Summer Months", "")</f>
        <v xml:space="preserve">0% Annualized Effort, 0 Avg. Academic Months
</v>
      </c>
      <c r="B60" s="55">
        <f>J60*O60</f>
        <v>0</v>
      </c>
      <c r="C60" s="55">
        <f>IF($J$5&gt;1,IF($U$2&lt;&gt;0,IF(O60*(1+$O$5)&lt;=$U$2*0.75,O60*K60*(1+$O$5),$U$2*0.75*K60),O60*K60*(1+$O$5)),0)</f>
        <v>0</v>
      </c>
      <c r="D60" s="55">
        <f>IF($J$5&gt;2,IF($U$2&lt;&gt;0,IF(O60*(1+$O$5)^2&lt;=$U$2*0.75,O60*L60*(1+$O$5)^2,$U$2*0.75*L60),O60*L60*(1+$O$5)^2),0)</f>
        <v>0</v>
      </c>
      <c r="E60" s="55">
        <f>IF($J$5&gt;3,IF($U$2&lt;&gt;0,IF(O60*(1+$O$5)^3&lt;=$U$2*0.75,O60*M60*(1+$O$5)^3,$U$2*0.75*M60),O60*M60*(1+$O$5)^3),0)</f>
        <v>0</v>
      </c>
      <c r="F60" s="55">
        <f>IF($J$5&gt;4,IF($U$2&lt;&gt;0,IF(O60*(1+$O$5)^4&lt;=$U$2*0.75,O60*N60*(1+$O$5)^4,$U$2*0.75*N60),O60*N60*(1+$O$5)^4),0)</f>
        <v>0</v>
      </c>
      <c r="G60" s="54">
        <f>SUM(B60:F60)</f>
        <v>0</v>
      </c>
      <c r="H60" s="14"/>
      <c r="I60" s="106" t="s">
        <v>15</v>
      </c>
      <c r="J60" s="17">
        <v>0</v>
      </c>
      <c r="K60" s="17">
        <f>IF($J$5&gt;1,J60,0)</f>
        <v>0</v>
      </c>
      <c r="L60" s="17">
        <f>IF($J$5&gt;2,K60,0)</f>
        <v>0</v>
      </c>
      <c r="M60" s="17">
        <f>IF($J$5&gt;3,L60,0)</f>
        <v>0</v>
      </c>
      <c r="N60" s="17">
        <f>IF($J$5&gt;4,M60,0)</f>
        <v>0</v>
      </c>
      <c r="O60" s="145">
        <f>IF(U58="A",IF($U$2&lt;&gt;0,IF(T58&gt;($U$2/12*9),($U$2/12*9),T58),T58),0)</f>
        <v>0</v>
      </c>
      <c r="P60" s="166"/>
      <c r="Q60" s="156">
        <f>((SUM(J58:N58)-SUM(J61:N61))/(CEILING($J$5*9,9)))*9</f>
        <v>0</v>
      </c>
      <c r="R60" s="12"/>
      <c r="S60" s="12"/>
      <c r="T60" s="90"/>
      <c r="U60" s="92"/>
      <c r="V60" s="92"/>
    </row>
    <row r="61" spans="1:22" outlineLevel="1" x14ac:dyDescent="0.25">
      <c r="A61" s="481"/>
      <c r="B61" s="55">
        <f>J61/3*O61</f>
        <v>0</v>
      </c>
      <c r="C61" s="55">
        <f>IF($J$5&gt;1,IF($U$2&lt;&gt;0,IF(O61*(1+$O$5)&lt;=$U$2*0.25,O61*K61/3*(1+$O$5),$U$2*0.25*K61/3),O61*K61/3*(1+$O$5)),0)</f>
        <v>0</v>
      </c>
      <c r="D61" s="55">
        <f>IF($J$5&gt;2,IF($U$2&lt;&gt;0,IF(O61*(1+$O$5)^2&lt;=$U$2*0.25,O61*L61/3*(1+$O$5)^2,$U$2*0.25*L61/3),O61*L61/3*(1+$O$5)^2),0)</f>
        <v>0</v>
      </c>
      <c r="E61" s="55">
        <f>IF($J$5&gt;3,IF($U$2&lt;&gt;0,IF(O61*(1+$O$5)^3&lt;=$U$2*0.25,O61*M61/3*(1+$O$5)^3,$U$2*0.25*M61/3),O61*M61/3*(1+$O$5)^3),0)</f>
        <v>0</v>
      </c>
      <c r="F61" s="55">
        <f>IF($J$5&gt;4,IF($U$2&lt;&gt;0,IF(O61*(1+$O$5)^4&lt;=$U$2*0.25,O61*N61/3*(1+$O$5)^4,$U$2*0.25*N61/3),O61*N61/3*(1+$O$5)^4),0)</f>
        <v>0</v>
      </c>
      <c r="G61" s="54">
        <f>SUM(B61:F61)</f>
        <v>0</v>
      </c>
      <c r="H61" s="14"/>
      <c r="I61" s="107" t="s">
        <v>17</v>
      </c>
      <c r="J61" s="188">
        <v>0</v>
      </c>
      <c r="K61" s="188">
        <f>IF($J$5&gt;1,J61,0)</f>
        <v>0</v>
      </c>
      <c r="L61" s="188">
        <f>IF($J$5&gt;2,K61,0)</f>
        <v>0</v>
      </c>
      <c r="M61" s="188">
        <f>IF($J$5&gt;3,L61,0)</f>
        <v>0</v>
      </c>
      <c r="N61" s="188">
        <f>IF($J$5&gt;4,M61,0)</f>
        <v>0</v>
      </c>
      <c r="O61" s="167">
        <f>IF(U58="A",IF($U$2&lt;&gt;0,IF(T58/9*3&gt;($U$2/12*3),($U$2/12*3),T58/9*3),T58/9*3),0)</f>
        <v>0</v>
      </c>
      <c r="P61" s="157"/>
      <c r="Q61" s="157">
        <f>((SUM(J58:N58)-SUM(J60:N60)*9)/(CEILING($J$5*3,3)))*3</f>
        <v>0</v>
      </c>
      <c r="R61" s="12"/>
      <c r="S61" s="12"/>
      <c r="T61" s="1"/>
      <c r="U61" s="92"/>
      <c r="V61" s="148"/>
    </row>
    <row r="62" spans="1:22" outlineLevel="1" x14ac:dyDescent="0.25">
      <c r="B62" s="55"/>
      <c r="C62" s="55"/>
      <c r="D62" s="55"/>
      <c r="E62" s="55"/>
      <c r="F62" s="55"/>
      <c r="G62" s="54"/>
      <c r="H62" s="14"/>
      <c r="I62" s="53" t="s">
        <v>48</v>
      </c>
      <c r="J62" s="105" t="b">
        <f>IF(J64&gt;0%,IF(J64&lt;50%,IF(J64&gt;0,($U$3/2),0),$U$3),IF(J65&gt;0%,IF(J65&lt;50%,IF(J65&gt;0,($U$3/2),0),$U$3)))</f>
        <v>0</v>
      </c>
      <c r="K62" s="105" t="b">
        <f>IF(K64&gt;0%,IF(K64&lt;50%,IF(K64&gt;0,(($U$3*(1+$V$3))/2),0),($U$3*(1+$V$3))),IF(K65&gt;0%,IF(K65&lt;50%,IF(K65&gt;0,(($U$3*(1+$V$3))/2),0),($U$3*(1+$V$3)))))</f>
        <v>0</v>
      </c>
      <c r="L62" s="105" t="b">
        <f>IF(L64&gt;0%,IF(L64&lt;50%,IF(L64&gt;0,(($U$3*(1+$V$3)^2)/2),0),($U$3*(1+$V$3)^2)),IF(L65&gt;0%,IF(L65&lt;50%,IF(L65&gt;0,(($U$3*(1+$V$3)^2)/2),0),($U$3*(1+$V$3)^2))))</f>
        <v>0</v>
      </c>
      <c r="M62" s="105" t="b">
        <f>IF(M64&gt;0%,IF(M64&lt;50%,IF(M64&gt;0,(($U$3*(1+$V$3)^3)/2),0),($U$3*(1+$V$3)^3)),IF(M65&gt;0%,IF(M65&lt;50%,IF(M65&gt;0,(($U$3*(1+$V$3)^3)/2),0),($U$3*(1+$V$3)^3))))</f>
        <v>0</v>
      </c>
      <c r="N62" s="105" t="b">
        <f>IF(N64&gt;0%,IF(N64&lt;50%,IF(N64&gt;0,(($U$3*(1+$V$3)^4)/2),0),($U$3*(1+$V$3)^4)),IF(N65&gt;0%,IF(N65&lt;50%,IF(N65&gt;0,(($U$3*(1+$V$3)^4)/2),0),($U$3*(1+$V$3)^4))))</f>
        <v>0</v>
      </c>
      <c r="O62" s="49" t="s">
        <v>51</v>
      </c>
      <c r="P62" s="153"/>
      <c r="Q62" s="153"/>
      <c r="R62" s="1"/>
      <c r="S62" s="18"/>
      <c r="T62" s="1"/>
    </row>
    <row r="63" spans="1:22" outlineLevel="1" x14ac:dyDescent="0.25">
      <c r="A63" s="23" t="s">
        <v>85</v>
      </c>
      <c r="B63" s="55"/>
      <c r="C63" s="55"/>
      <c r="D63" s="55"/>
      <c r="E63" s="55"/>
      <c r="F63" s="55"/>
      <c r="G63" s="54"/>
      <c r="H63" s="14"/>
      <c r="I63" s="106" t="s">
        <v>128</v>
      </c>
      <c r="J63" s="5">
        <f>IF($U63="F",J64*12,SUM(J65*9,J66))</f>
        <v>0</v>
      </c>
      <c r="K63" s="5">
        <f>IF($U63="F",K64*12,SUM(K65*9,K66))</f>
        <v>0</v>
      </c>
      <c r="L63" s="5">
        <f>IF($U63="F",L64*12,SUM(L65*9,L66))</f>
        <v>0</v>
      </c>
      <c r="M63" s="5">
        <f>IF($U63="F",M64*12,SUM(M65*9,M66))</f>
        <v>0</v>
      </c>
      <c r="N63" s="5">
        <f>IF($U63="F",N64*12,SUM(N65*9,N66))</f>
        <v>0</v>
      </c>
      <c r="O63" s="49"/>
      <c r="P63" s="153" t="s">
        <v>126</v>
      </c>
      <c r="Q63" s="153" t="s">
        <v>127</v>
      </c>
      <c r="R63" s="1"/>
      <c r="S63" s="1"/>
      <c r="T63" s="143">
        <v>0</v>
      </c>
      <c r="U63" s="144"/>
    </row>
    <row r="64" spans="1:22" outlineLevel="1" x14ac:dyDescent="0.25">
      <c r="A64" s="13" t="str">
        <f>ROUND(P64*100, 2)&amp;"% Avg. Fiscal Effort, "&amp;ROUND(Q64, 2)&amp;" Avg. Calendar Months"</f>
        <v>0% Avg. Fiscal Effort, 0 Avg. Calendar Months</v>
      </c>
      <c r="B64" s="55">
        <f>O64*J64</f>
        <v>0</v>
      </c>
      <c r="C64" s="55">
        <f>IF($J$5&gt;1,IF($U$2&lt;&gt;0,IF(O64*(1+$O$5)&lt;=$U$2,O64*K64*(1+$O$5),$U$2*K64),O64*K64*(1+$O$5)),0)</f>
        <v>0</v>
      </c>
      <c r="D64" s="55">
        <f>IF($J$5&gt;2,IF($U$2&lt;&gt;0,IF(O64*(1+$O$5)^2&lt;=$U$2,O64*L64*(1+$O$5)^2,$U$2*L64),O64*L64*(1+$O$5)^2),0)</f>
        <v>0</v>
      </c>
      <c r="E64" s="55">
        <f>IF($J$5&gt;3,IF($U$2&lt;&gt;0,IF(O64*(1+$O$5)^3&lt;=$U$2,O64*M64*(1+$O$5)^3,$U$2*M64),O64*M64*(1+$O$5)^3),0)</f>
        <v>0</v>
      </c>
      <c r="F64" s="55">
        <f>IF($J$5&gt;4,IF($U$2&lt;&gt;0,IF(O64*(1+$O$5)^4&lt;=$U$2,O64*N64*(1+$O$5)^4,$U$2*N64),O64*N64*(1+$O$5)^4),0)</f>
        <v>0</v>
      </c>
      <c r="G64" s="54">
        <f>SUM(B64:F64)</f>
        <v>0</v>
      </c>
      <c r="H64" s="14"/>
      <c r="I64" s="106" t="s">
        <v>26</v>
      </c>
      <c r="J64" s="17">
        <v>0</v>
      </c>
      <c r="K64" s="17">
        <f>IF($J$5&gt;1,J64,0)</f>
        <v>0</v>
      </c>
      <c r="L64" s="17">
        <f>IF($J$5&gt;2,K64,0)</f>
        <v>0</v>
      </c>
      <c r="M64" s="17">
        <f>IF($J$5&gt;3,L64,0)</f>
        <v>0</v>
      </c>
      <c r="N64" s="17">
        <f>IF($J$5&gt;4,M64,0)</f>
        <v>0</v>
      </c>
      <c r="O64" s="145">
        <f>IF(U63="F",IF($U$2&lt;&gt;0,IF(T63&gt;$U$2,$U$2,T63),T63),0)</f>
        <v>0</v>
      </c>
      <c r="P64" s="154">
        <f>SUM(J63:N63)/(ROUNDUP($J$5,0)*12)</f>
        <v>0</v>
      </c>
      <c r="Q64" s="155">
        <f>(SUM(J63:N63)/(CEILING($J$5*12,12)))*12</f>
        <v>0</v>
      </c>
      <c r="R64" s="1"/>
      <c r="S64" s="1"/>
      <c r="T64" s="90"/>
      <c r="U64" s="92"/>
      <c r="V64" s="92"/>
    </row>
    <row r="65" spans="1:22" outlineLevel="1" x14ac:dyDescent="0.25">
      <c r="A65" s="481" t="str">
        <f>ROUND(P64*100,2)&amp;"% Annualized Effort, "&amp;ROUND(Q65,2)&amp;" Avg. Academic Months
"&amp;IF(SUM(J66:N66)&gt;0," and "&amp;Q66 &amp;" Avg. Summer Months", "")</f>
        <v xml:space="preserve">0% Annualized Effort, 0 Avg. Academic Months
</v>
      </c>
      <c r="B65" s="55">
        <f>J65*O65</f>
        <v>0</v>
      </c>
      <c r="C65" s="55">
        <f>IF($J$5&gt;1,IF($U$2&lt;&gt;0,IF(O65*(1+$O$5)&lt;=$U$2*0.75,O65*K65*(1+$O$5),$U$2*0.75*K65),O65*K65*(1+$O$5)),0)</f>
        <v>0</v>
      </c>
      <c r="D65" s="55">
        <f>IF($J$5&gt;2,IF($U$2&lt;&gt;0,IF(O65*(1+$O$5)^2&lt;=$U$2*0.75,O65*L65*(1+$O$5)^2,$U$2*0.75*L65),O65*L65*(1+$O$5)^2),0)</f>
        <v>0</v>
      </c>
      <c r="E65" s="55">
        <f>IF($J$5&gt;3,IF($U$2&lt;&gt;0,IF(O65*(1+$O$5)^3&lt;=$U$2*0.75,O65*M65*(1+$O$5)^3,$U$2*0.75*M65),O65*M65*(1+$O$5)^3),0)</f>
        <v>0</v>
      </c>
      <c r="F65" s="55">
        <f>IF($J$5&gt;4,IF($U$2&lt;&gt;0,IF(O65*(1+$O$5)^4&lt;=$U$2*0.75,O65*N65*(1+$O$5)^4,$U$2*0.75*N65),O65*N65*(1+$O$5)^4),0)</f>
        <v>0</v>
      </c>
      <c r="G65" s="54">
        <f>SUM(B65:F65)</f>
        <v>0</v>
      </c>
      <c r="H65" s="14"/>
      <c r="I65" s="106" t="s">
        <v>15</v>
      </c>
      <c r="J65" s="17">
        <v>0</v>
      </c>
      <c r="K65" s="17">
        <f>IF($J$5&gt;1,J65,0)</f>
        <v>0</v>
      </c>
      <c r="L65" s="17">
        <f>IF($J$5&gt;2,K65,0)</f>
        <v>0</v>
      </c>
      <c r="M65" s="17">
        <f>IF($J$5&gt;3,L65,0)</f>
        <v>0</v>
      </c>
      <c r="N65" s="17">
        <f>IF($J$5&gt;4,M65,0)</f>
        <v>0</v>
      </c>
      <c r="O65" s="145">
        <f>IF(U63="A",IF($U$2&lt;&gt;0,IF(T63&gt;($U$2/12*9),($U$2/12*9),T63),T63),0)</f>
        <v>0</v>
      </c>
      <c r="P65" s="166"/>
      <c r="Q65" s="156">
        <f>((SUM(J63:N63)-SUM(J66:N66))/(CEILING($J$5*9,9)))*9</f>
        <v>0</v>
      </c>
      <c r="R65" s="12"/>
      <c r="S65" s="12"/>
      <c r="T65" s="90"/>
      <c r="U65" s="92"/>
      <c r="V65" s="92"/>
    </row>
    <row r="66" spans="1:22" outlineLevel="1" x14ac:dyDescent="0.25">
      <c r="A66" s="481"/>
      <c r="B66" s="55">
        <f>J66/3*O66</f>
        <v>0</v>
      </c>
      <c r="C66" s="55">
        <f>IF($J$5&gt;1,IF($U$2&lt;&gt;0,IF(O66*(1+$O$5)&lt;=$U$2*0.25,O66*K66/3*(1+$O$5),$U$2*0.25*K66/3),O66*K66/3*(1+$O$5)),0)</f>
        <v>0</v>
      </c>
      <c r="D66" s="55">
        <f>IF($J$5&gt;2,IF($U$2&lt;&gt;0,IF(O66*(1+$O$5)^2&lt;=$U$2*0.25,O66*L66/3*(1+$O$5)^2,$U$2*0.25*L66/3),O66*L66/3*(1+$O$5)^2),0)</f>
        <v>0</v>
      </c>
      <c r="E66" s="55">
        <f>IF($J$5&gt;3,IF($U$2&lt;&gt;0,IF(O66*(1+$O$5)^3&lt;=$U$2*0.25,O66*M66/3*(1+$O$5)^3,$U$2*0.25*M66/3),O66*M66/3*(1+$O$5)^3),0)</f>
        <v>0</v>
      </c>
      <c r="F66" s="55">
        <f>IF($J$5&gt;4,IF($U$2&lt;&gt;0,IF(O66*(1+$O$5)^4&lt;=$U$2*0.25,O66*N66/3*(1+$O$5)^4,$U$2*0.25*N66/3),O66*N66/3*(1+$O$5)^4),0)</f>
        <v>0</v>
      </c>
      <c r="G66" s="54">
        <f>SUM(B66:F66)</f>
        <v>0</v>
      </c>
      <c r="H66" s="14"/>
      <c r="I66" s="106" t="s">
        <v>17</v>
      </c>
      <c r="J66" s="188">
        <v>0</v>
      </c>
      <c r="K66" s="188">
        <f>IF($J$5&gt;1,J66,0)</f>
        <v>0</v>
      </c>
      <c r="L66" s="188">
        <f>IF($J$5&gt;2,K66,0)</f>
        <v>0</v>
      </c>
      <c r="M66" s="188">
        <f>IF($J$5&gt;3,L66,0)</f>
        <v>0</v>
      </c>
      <c r="N66" s="188">
        <f>IF($J$5&gt;4,M66,0)</f>
        <v>0</v>
      </c>
      <c r="O66" s="167">
        <f>IF(U63="A",IF($U$2&lt;&gt;0,IF(T63/9*3&gt;($U$2/12*3),($U$2/12*3),T63/9*3),T63/9*3),0)</f>
        <v>0</v>
      </c>
      <c r="P66" s="157"/>
      <c r="Q66" s="157">
        <f>((SUM(J63:N63)-SUM(J65:N65)*9)/(CEILING($J$5*3,3)))*3</f>
        <v>0</v>
      </c>
      <c r="R66" s="12"/>
      <c r="S66" s="12"/>
      <c r="T66" s="1"/>
      <c r="U66" s="92"/>
      <c r="V66" s="148"/>
    </row>
    <row r="67" spans="1:22" outlineLevel="1" x14ac:dyDescent="0.25">
      <c r="A67" s="13"/>
      <c r="B67" s="55"/>
      <c r="C67" s="55"/>
      <c r="D67" s="56"/>
      <c r="E67" s="56"/>
      <c r="F67" s="56"/>
      <c r="G67" s="54"/>
      <c r="H67" s="14"/>
      <c r="I67" s="42"/>
      <c r="J67" s="5" t="s">
        <v>6</v>
      </c>
      <c r="K67" s="5" t="s">
        <v>5</v>
      </c>
      <c r="L67" s="5" t="s">
        <v>7</v>
      </c>
      <c r="M67" s="5" t="s">
        <v>8</v>
      </c>
      <c r="N67" s="5" t="s">
        <v>9</v>
      </c>
      <c r="O67" s="187" t="s">
        <v>50</v>
      </c>
      <c r="P67" s="154"/>
      <c r="Q67" s="154"/>
      <c r="R67" s="1"/>
      <c r="S67" s="1"/>
      <c r="T67" s="1"/>
    </row>
    <row r="68" spans="1:22" outlineLevel="1" x14ac:dyDescent="0.25">
      <c r="A68" s="23" t="str">
        <f>"TBN, Student Worker ("&amp;J68&amp;")"</f>
        <v>TBN, Student Worker (0)</v>
      </c>
      <c r="B68" s="55"/>
      <c r="C68" s="55"/>
      <c r="D68" s="56"/>
      <c r="E68" s="56"/>
      <c r="F68" s="56"/>
      <c r="G68" s="54"/>
      <c r="H68" s="14"/>
      <c r="I68" s="4" t="s">
        <v>49</v>
      </c>
      <c r="J68" s="25">
        <v>0</v>
      </c>
      <c r="K68" s="126"/>
      <c r="L68" s="126"/>
      <c r="M68" s="126"/>
      <c r="N68" s="126"/>
      <c r="O68" s="108">
        <v>0</v>
      </c>
      <c r="P68" s="154"/>
      <c r="Q68" s="154"/>
      <c r="R68" s="1"/>
      <c r="S68" s="1"/>
      <c r="T68" s="1"/>
    </row>
    <row r="69" spans="1:22" outlineLevel="1" x14ac:dyDescent="0.25">
      <c r="A69" s="13" t="str">
        <f>J69&amp;" hours per student @ $"&amp;O68&amp;"/hour"</f>
        <v xml:space="preserve"> hours per student @ $0/hour</v>
      </c>
      <c r="B69" s="55">
        <f>J68*J69*O68</f>
        <v>0</v>
      </c>
      <c r="C69" s="55">
        <f>IF($J$5&gt;1,$J$68*K69*$O$68*(1+$O$5),0)</f>
        <v>0</v>
      </c>
      <c r="D69" s="55">
        <f>IF($J$5&gt;2,$J$68*L69*$O$68*(1+$O$5)^2,0)</f>
        <v>0</v>
      </c>
      <c r="E69" s="55">
        <f>IF($J$5&gt;3,$J$68*M69*$O$68*(1+$O$5)^3,0)</f>
        <v>0</v>
      </c>
      <c r="F69" s="55">
        <f>IF($J$5&gt;4,$J$68*N69*$O$68*(1+$O$5)^4,0)</f>
        <v>0</v>
      </c>
      <c r="G69" s="54">
        <f>SUM(B69:F69)</f>
        <v>0</v>
      </c>
      <c r="H69" s="14"/>
      <c r="I69" s="21" t="s">
        <v>56</v>
      </c>
      <c r="J69" s="27"/>
      <c r="K69" s="188">
        <f>IF($J$5&gt;1,J69,0)</f>
        <v>0</v>
      </c>
      <c r="L69" s="27">
        <f>IF($J$5&gt;2,K69,0)</f>
        <v>0</v>
      </c>
      <c r="M69" s="27">
        <f>IF($J$5&gt;3,L69,0)</f>
        <v>0</v>
      </c>
      <c r="N69" s="27">
        <f>IF($J$5&gt;4,M69,0)</f>
        <v>0</v>
      </c>
      <c r="O69" s="22"/>
      <c r="P69" s="154"/>
      <c r="Q69" s="154"/>
      <c r="R69" s="1"/>
      <c r="S69" s="1"/>
      <c r="T69" s="1"/>
    </row>
    <row r="70" spans="1:22" outlineLevel="1" x14ac:dyDescent="0.25">
      <c r="A70" s="13"/>
      <c r="B70" s="55"/>
      <c r="C70" s="55"/>
      <c r="D70" s="55"/>
      <c r="E70" s="55"/>
      <c r="F70" s="55"/>
      <c r="G70" s="54"/>
      <c r="H70" s="14"/>
      <c r="I70" s="4"/>
      <c r="J70" s="126"/>
      <c r="K70" s="126"/>
      <c r="L70" s="126"/>
      <c r="M70" s="126"/>
      <c r="N70" s="126"/>
      <c r="O70" s="51" t="s">
        <v>50</v>
      </c>
      <c r="P70" s="154"/>
      <c r="Q70" s="154"/>
      <c r="R70" s="1"/>
      <c r="S70" s="1"/>
      <c r="T70" s="1"/>
    </row>
    <row r="71" spans="1:22" outlineLevel="1" x14ac:dyDescent="0.25">
      <c r="A71" s="23" t="str">
        <f>"TBN, Student Worker ("&amp;J71&amp;")"</f>
        <v>TBN, Student Worker (0)</v>
      </c>
      <c r="B71" s="55"/>
      <c r="C71" s="55"/>
      <c r="D71" s="56"/>
      <c r="E71" s="56"/>
      <c r="F71" s="56"/>
      <c r="G71" s="54"/>
      <c r="H71" s="14"/>
      <c r="I71" s="4" t="s">
        <v>49</v>
      </c>
      <c r="J71" s="25">
        <v>0</v>
      </c>
      <c r="K71" s="126"/>
      <c r="L71" s="126"/>
      <c r="M71" s="126"/>
      <c r="N71" s="126"/>
      <c r="O71" s="108">
        <v>0</v>
      </c>
      <c r="P71" s="154"/>
      <c r="Q71" s="154"/>
      <c r="R71" s="1"/>
      <c r="S71" s="1"/>
      <c r="T71" s="1"/>
    </row>
    <row r="72" spans="1:22" outlineLevel="1" x14ac:dyDescent="0.25">
      <c r="A72" s="13" t="str">
        <f>J72&amp;" hours per student @ $"&amp;O71&amp;"/hour"</f>
        <v xml:space="preserve"> hours per student @ $0/hour</v>
      </c>
      <c r="B72" s="55">
        <f>J71*J72*O71</f>
        <v>0</v>
      </c>
      <c r="C72" s="55">
        <f>IF($J$5&gt;1,$J$71*K72*$O$71*(1+$O$5),0)</f>
        <v>0</v>
      </c>
      <c r="D72" s="55">
        <f>IF($J$5&gt;2,$J$71*L72*$O$71*(1+$O$5)^2,0)</f>
        <v>0</v>
      </c>
      <c r="E72" s="55">
        <f>IF($J$5&gt;3,$J$71*M72*$O$71*(1+$O$5)^3,0)</f>
        <v>0</v>
      </c>
      <c r="F72" s="55">
        <f>IF($J$5&gt;4,$J$71*N72*$O$71*(1+$O$5)^4,0)</f>
        <v>0</v>
      </c>
      <c r="G72" s="54">
        <f>SUM(B72:F72)</f>
        <v>0</v>
      </c>
      <c r="H72" s="14"/>
      <c r="I72" s="21" t="s">
        <v>56</v>
      </c>
      <c r="J72" s="27"/>
      <c r="K72" s="188">
        <f>IF($J$5&gt;1,J72,0)</f>
        <v>0</v>
      </c>
      <c r="L72" s="27">
        <f>IF($J$5&gt;2,K72,0)</f>
        <v>0</v>
      </c>
      <c r="M72" s="27">
        <f>IF($J$5&gt;3,L72,0)</f>
        <v>0</v>
      </c>
      <c r="N72" s="27">
        <f>IF($J$5&gt;4,M72,0)</f>
        <v>0</v>
      </c>
      <c r="O72" s="22"/>
      <c r="P72" s="154"/>
      <c r="Q72" s="154"/>
      <c r="R72" s="1"/>
      <c r="S72" s="1"/>
      <c r="T72" s="1"/>
    </row>
    <row r="73" spans="1:22" outlineLevel="1" x14ac:dyDescent="0.25">
      <c r="A73" s="13"/>
      <c r="B73" s="55"/>
      <c r="C73" s="55"/>
      <c r="D73" s="55"/>
      <c r="E73" s="55"/>
      <c r="F73" s="55"/>
      <c r="G73" s="54"/>
      <c r="H73" s="14"/>
      <c r="I73" s="4"/>
      <c r="J73" s="126"/>
      <c r="K73" s="126"/>
      <c r="L73" s="126"/>
      <c r="M73" s="126"/>
      <c r="N73" s="126"/>
      <c r="O73" s="51" t="s">
        <v>50</v>
      </c>
      <c r="P73" s="154"/>
      <c r="Q73" s="154"/>
      <c r="R73" s="1"/>
      <c r="S73" s="1"/>
      <c r="T73" s="1"/>
    </row>
    <row r="74" spans="1:22" outlineLevel="1" x14ac:dyDescent="0.25">
      <c r="A74" s="23" t="str">
        <f>"TBN, Student Worker ("&amp;J74&amp;")"</f>
        <v>TBN, Student Worker (0)</v>
      </c>
      <c r="B74" s="55"/>
      <c r="C74" s="55"/>
      <c r="D74" s="56"/>
      <c r="E74" s="56"/>
      <c r="F74" s="56"/>
      <c r="G74" s="54"/>
      <c r="H74" s="14"/>
      <c r="I74" s="4" t="s">
        <v>49</v>
      </c>
      <c r="J74" s="25">
        <v>0</v>
      </c>
      <c r="K74" s="126"/>
      <c r="L74" s="126"/>
      <c r="M74" s="126"/>
      <c r="N74" s="126"/>
      <c r="O74" s="108">
        <v>0</v>
      </c>
      <c r="P74" s="154"/>
      <c r="Q74" s="154"/>
      <c r="R74" s="1"/>
      <c r="S74" s="1"/>
      <c r="T74" s="1"/>
    </row>
    <row r="75" spans="1:22" outlineLevel="1" x14ac:dyDescent="0.25">
      <c r="A75" s="13" t="str">
        <f>J75&amp;" hours per student @ $"&amp;O74&amp;"/hour"</f>
        <v xml:space="preserve"> hours per student @ $0/hour</v>
      </c>
      <c r="B75" s="55">
        <f>J74*J75*O74</f>
        <v>0</v>
      </c>
      <c r="C75" s="55">
        <f>IF($J$5&gt;1,$J$74*K75*$O$74*(1+$O$5),0)</f>
        <v>0</v>
      </c>
      <c r="D75" s="55">
        <f>IF($J$5&gt;2,$J$74*L75*$O$74*(1+$O$5)^2,0)</f>
        <v>0</v>
      </c>
      <c r="E75" s="55">
        <f>IF($J$5&gt;3,$J$74*M75*$O$74*(1+$O$5)^3,0)</f>
        <v>0</v>
      </c>
      <c r="F75" s="55">
        <f>IF($J$5&gt;4,$J$74*N75*$O$74*(1+$O$5)^4,0)</f>
        <v>0</v>
      </c>
      <c r="G75" s="54">
        <f>SUM(B75:F75)</f>
        <v>0</v>
      </c>
      <c r="H75" s="14"/>
      <c r="I75" s="21" t="s">
        <v>56</v>
      </c>
      <c r="J75" s="27"/>
      <c r="K75" s="188">
        <f>IF($J$5&gt;1,J75,0)</f>
        <v>0</v>
      </c>
      <c r="L75" s="27">
        <f>IF($J$5&gt;2,K75,0)</f>
        <v>0</v>
      </c>
      <c r="M75" s="27">
        <f>IF($J$5&gt;3,L75,0)</f>
        <v>0</v>
      </c>
      <c r="N75" s="27">
        <f>IF($J$5&gt;4,M75,0)</f>
        <v>0</v>
      </c>
      <c r="O75" s="22"/>
      <c r="P75" s="154"/>
      <c r="Q75" s="154"/>
      <c r="R75" s="1"/>
      <c r="S75" s="1"/>
      <c r="T75" s="1"/>
    </row>
    <row r="76" spans="1:22" outlineLevel="1" x14ac:dyDescent="0.25">
      <c r="A76" s="113" t="s">
        <v>0</v>
      </c>
      <c r="B76" s="61">
        <f>ROUND(SUM(B8:B75),0)</f>
        <v>0</v>
      </c>
      <c r="C76" s="61">
        <f>ROUND(SUM(C8:C75),0)</f>
        <v>0</v>
      </c>
      <c r="D76" s="61">
        <f>ROUND(SUM(D8:D75),0)</f>
        <v>0</v>
      </c>
      <c r="E76" s="61">
        <f>ROUND(SUM(E8:E75),0)</f>
        <v>0</v>
      </c>
      <c r="F76" s="61">
        <f>ROUND(SUM(F8:F75),0)</f>
        <v>0</v>
      </c>
      <c r="G76" s="61">
        <f>SUM(B76:F76)</f>
        <v>0</v>
      </c>
      <c r="H76" s="28"/>
      <c r="R76" s="1"/>
      <c r="S76" s="1"/>
      <c r="T76" s="1"/>
      <c r="V76" s="92"/>
    </row>
    <row r="77" spans="1:22" outlineLevel="1" x14ac:dyDescent="0.25">
      <c r="B77" s="60"/>
      <c r="C77" s="60"/>
      <c r="D77" s="56"/>
      <c r="E77" s="56"/>
      <c r="F77" s="56"/>
      <c r="G77" s="54"/>
      <c r="R77" s="1"/>
      <c r="S77" s="1"/>
      <c r="T77" s="1"/>
      <c r="V77" s="92"/>
    </row>
    <row r="78" spans="1:22" outlineLevel="1" x14ac:dyDescent="0.25">
      <c r="A78" s="115" t="s">
        <v>4</v>
      </c>
      <c r="B78" s="60"/>
      <c r="C78" s="60"/>
      <c r="D78" s="56"/>
      <c r="E78" s="56"/>
      <c r="F78" s="56"/>
      <c r="G78" s="54"/>
      <c r="R78" s="1"/>
      <c r="S78" s="1"/>
      <c r="T78" s="1"/>
      <c r="V78" s="92"/>
    </row>
    <row r="79" spans="1:22" outlineLevel="1" x14ac:dyDescent="0.25">
      <c r="A79" s="104" t="str">
        <f>I79&amp;ROUND(J79*100,2)&amp;"%"</f>
        <v>Employees @ 0%</v>
      </c>
      <c r="B79" s="121">
        <f>SUM(B8:B40)*$J$79</f>
        <v>0</v>
      </c>
      <c r="C79" s="121">
        <f>SUM(C8:C40)*$J$79</f>
        <v>0</v>
      </c>
      <c r="D79" s="121">
        <f>SUM(D8:D40)*$J$79</f>
        <v>0</v>
      </c>
      <c r="E79" s="121">
        <f>SUM(E8:E40)*$J$79</f>
        <v>0</v>
      </c>
      <c r="F79" s="121">
        <f>SUM(F8:F40)*$J$79</f>
        <v>0</v>
      </c>
      <c r="G79" s="62">
        <f>SUM(B79:F79)</f>
        <v>0</v>
      </c>
      <c r="H79" s="3"/>
      <c r="I79" s="150" t="s">
        <v>146</v>
      </c>
      <c r="J79" s="149">
        <v>0</v>
      </c>
      <c r="K79" s="162"/>
      <c r="L79" s="162"/>
      <c r="M79" s="162"/>
      <c r="N79" s="162"/>
      <c r="R79" s="1"/>
      <c r="S79" s="1"/>
      <c r="T79" s="1"/>
      <c r="V79" s="92"/>
    </row>
    <row r="80" spans="1:22" outlineLevel="1" x14ac:dyDescent="0.25">
      <c r="A80" s="104" t="str">
        <f>I80&amp;ROUND(J80*100,2)&amp;"%"</f>
        <v>Post-docs @ 0%</v>
      </c>
      <c r="B80" s="121">
        <f>SUM(B45:B51)*$J$80</f>
        <v>0</v>
      </c>
      <c r="C80" s="121">
        <f>SUM(C45:C51)*$J$80</f>
        <v>0</v>
      </c>
      <c r="D80" s="121">
        <f>SUM(D45:D51)*$J$80</f>
        <v>0</v>
      </c>
      <c r="E80" s="121">
        <f>SUM(E45:E51)*$J$80</f>
        <v>0</v>
      </c>
      <c r="F80" s="121">
        <f>SUM(F45:F51)*$J$80</f>
        <v>0</v>
      </c>
      <c r="G80" s="62">
        <f>SUM(B80:F80)</f>
        <v>0</v>
      </c>
      <c r="H80" s="3"/>
      <c r="I80" s="150" t="s">
        <v>147</v>
      </c>
      <c r="J80" s="149">
        <v>0</v>
      </c>
      <c r="K80" s="162"/>
      <c r="L80" s="162"/>
      <c r="M80" s="162"/>
      <c r="N80" s="162"/>
      <c r="R80" s="1"/>
      <c r="S80" s="1"/>
      <c r="T80" s="1"/>
      <c r="V80" s="92"/>
    </row>
    <row r="81" spans="1:22" outlineLevel="1" x14ac:dyDescent="0.25">
      <c r="A81" s="104" t="str">
        <f>I81&amp;ROUND(J81*100,2)&amp;"%"</f>
        <v>Graduate Assistants @ 0%</v>
      </c>
      <c r="B81" s="121">
        <f>SUM(B54:B66)*$J$81</f>
        <v>0</v>
      </c>
      <c r="C81" s="121">
        <f>SUM(C54:C66)*$J$81</f>
        <v>0</v>
      </c>
      <c r="D81" s="121">
        <f>SUM(D54:D66)*$J$81</f>
        <v>0</v>
      </c>
      <c r="E81" s="121">
        <f>SUM(E54:E66)*$J$81</f>
        <v>0</v>
      </c>
      <c r="F81" s="121">
        <f>SUM(F54:F66)*$J$81</f>
        <v>0</v>
      </c>
      <c r="G81" s="62">
        <f>SUM(B81:F81)</f>
        <v>0</v>
      </c>
      <c r="H81" s="3"/>
      <c r="I81" s="150" t="s">
        <v>144</v>
      </c>
      <c r="J81" s="149">
        <v>0</v>
      </c>
      <c r="K81" s="162"/>
      <c r="L81" s="162"/>
      <c r="M81" s="162"/>
      <c r="N81" s="162"/>
      <c r="R81" s="1"/>
      <c r="S81" s="1"/>
      <c r="T81" s="1"/>
      <c r="V81" s="92"/>
    </row>
    <row r="82" spans="1:22" outlineLevel="1" x14ac:dyDescent="0.25">
      <c r="A82" s="104" t="str">
        <f>I82&amp;ROUND(J82*100,2)&amp;"%"</f>
        <v>Student Workers @0%</v>
      </c>
      <c r="B82" s="121">
        <f>SUM(B69:B75)*$J$82</f>
        <v>0</v>
      </c>
      <c r="C82" s="121">
        <f>SUM(C69:C75)*$J$82</f>
        <v>0</v>
      </c>
      <c r="D82" s="121">
        <f>SUM(D69:D75)*$J$82</f>
        <v>0</v>
      </c>
      <c r="E82" s="121">
        <f>SUM(E69:E75)*$J$82</f>
        <v>0</v>
      </c>
      <c r="F82" s="121">
        <f>SUM(F69:F75)*$J$82</f>
        <v>0</v>
      </c>
      <c r="G82" s="62">
        <f>SUM(B82:F82)</f>
        <v>0</v>
      </c>
      <c r="H82" s="3"/>
      <c r="I82" s="150" t="s">
        <v>140</v>
      </c>
      <c r="J82" s="149">
        <v>0</v>
      </c>
      <c r="K82" s="162"/>
      <c r="L82" s="162"/>
      <c r="M82" s="162"/>
      <c r="N82" s="162"/>
      <c r="R82" s="1"/>
      <c r="S82" s="1"/>
      <c r="T82" s="1"/>
      <c r="V82" s="92"/>
    </row>
    <row r="83" spans="1:22" outlineLevel="1" x14ac:dyDescent="0.25">
      <c r="A83" s="113" t="s">
        <v>1</v>
      </c>
      <c r="B83" s="63">
        <f>ROUND(SUM(B79:B82),0)</f>
        <v>0</v>
      </c>
      <c r="C83" s="63">
        <f>ROUND(SUM(C79:C82),0)</f>
        <v>0</v>
      </c>
      <c r="D83" s="63">
        <f>ROUND(SUM(D79:D82),0)</f>
        <v>0</v>
      </c>
      <c r="E83" s="63">
        <f>ROUND(SUM(E79:E82),0)</f>
        <v>0</v>
      </c>
      <c r="F83" s="63">
        <f>ROUND(SUM(F79:F82),0)</f>
        <v>0</v>
      </c>
      <c r="G83" s="64">
        <f>SUM(B83:F83)</f>
        <v>0</v>
      </c>
      <c r="H83" s="3"/>
      <c r="R83" s="1"/>
      <c r="S83" s="1"/>
      <c r="T83" s="1"/>
      <c r="V83" s="92"/>
    </row>
    <row r="84" spans="1:22" outlineLevel="1" x14ac:dyDescent="0.25">
      <c r="B84" s="56"/>
      <c r="C84" s="56"/>
      <c r="D84" s="56"/>
      <c r="E84" s="56"/>
      <c r="F84" s="56"/>
      <c r="G84" s="54"/>
      <c r="R84" s="1"/>
      <c r="S84" s="1"/>
      <c r="T84" s="1"/>
      <c r="V84" s="92"/>
    </row>
    <row r="85" spans="1:22" outlineLevel="1" x14ac:dyDescent="0.25">
      <c r="A85" s="114" t="s">
        <v>95</v>
      </c>
      <c r="B85" s="65">
        <f>B76+B83</f>
        <v>0</v>
      </c>
      <c r="C85" s="65">
        <f>C76+C83</f>
        <v>0</v>
      </c>
      <c r="D85" s="65">
        <f>D76+D83</f>
        <v>0</v>
      </c>
      <c r="E85" s="65">
        <f>E76+E83</f>
        <v>0</v>
      </c>
      <c r="F85" s="65">
        <f>F76+F83</f>
        <v>0</v>
      </c>
      <c r="G85" s="66">
        <f>SUM(B85:F85)</f>
        <v>0</v>
      </c>
      <c r="H85" s="3"/>
      <c r="R85" s="1"/>
      <c r="S85" s="1"/>
      <c r="T85" s="1"/>
      <c r="V85" s="92"/>
    </row>
    <row r="86" spans="1:22" outlineLevel="1" x14ac:dyDescent="0.25">
      <c r="A86" s="2"/>
      <c r="B86" s="67"/>
      <c r="C86" s="67"/>
      <c r="D86" s="67"/>
      <c r="E86" s="67"/>
      <c r="F86" s="67"/>
      <c r="G86" s="68"/>
      <c r="H86" s="29"/>
      <c r="R86" s="1"/>
      <c r="S86" s="1"/>
      <c r="T86" s="1"/>
      <c r="V86" s="92"/>
    </row>
    <row r="87" spans="1:22" outlineLevel="1" x14ac:dyDescent="0.25">
      <c r="A87" s="112" t="s">
        <v>39</v>
      </c>
      <c r="B87" s="56"/>
      <c r="C87" s="56"/>
      <c r="D87" s="56"/>
      <c r="E87" s="56"/>
      <c r="F87" s="56"/>
      <c r="G87" s="54"/>
      <c r="R87" s="1"/>
      <c r="S87" s="1"/>
      <c r="T87" s="1"/>
      <c r="V87" s="92"/>
    </row>
    <row r="88" spans="1:22" outlineLevel="1" x14ac:dyDescent="0.25">
      <c r="A88" s="85" t="s">
        <v>41</v>
      </c>
      <c r="B88" s="69">
        <v>0</v>
      </c>
      <c r="C88" s="69">
        <v>0</v>
      </c>
      <c r="D88" s="69">
        <v>0</v>
      </c>
      <c r="E88" s="69">
        <v>0</v>
      </c>
      <c r="F88" s="69">
        <v>0</v>
      </c>
      <c r="G88" s="54">
        <f>SUM(B88:F88)</f>
        <v>0</v>
      </c>
      <c r="H88" s="14"/>
      <c r="R88" s="1"/>
      <c r="S88" s="1"/>
      <c r="T88" s="1"/>
      <c r="V88" s="92"/>
    </row>
    <row r="89" spans="1:22" outlineLevel="1" x14ac:dyDescent="0.25">
      <c r="A89" s="85" t="s">
        <v>42</v>
      </c>
      <c r="B89" s="69">
        <v>0</v>
      </c>
      <c r="C89" s="69">
        <v>0</v>
      </c>
      <c r="D89" s="69">
        <v>0</v>
      </c>
      <c r="E89" s="69">
        <v>0</v>
      </c>
      <c r="F89" s="69">
        <v>0</v>
      </c>
      <c r="G89" s="54">
        <f>SUM(B89:F89)</f>
        <v>0</v>
      </c>
      <c r="H89" s="14"/>
      <c r="R89" s="1"/>
      <c r="S89" s="1"/>
      <c r="T89" s="1"/>
      <c r="V89" s="92"/>
    </row>
    <row r="90" spans="1:22" outlineLevel="1" x14ac:dyDescent="0.25">
      <c r="A90" s="85" t="s">
        <v>43</v>
      </c>
      <c r="B90" s="69">
        <v>0</v>
      </c>
      <c r="C90" s="69">
        <v>0</v>
      </c>
      <c r="D90" s="69">
        <v>0</v>
      </c>
      <c r="E90" s="69">
        <v>0</v>
      </c>
      <c r="F90" s="69">
        <v>0</v>
      </c>
      <c r="G90" s="54">
        <f>SUM(B90:F90)</f>
        <v>0</v>
      </c>
      <c r="H90" s="14"/>
      <c r="R90" s="1"/>
      <c r="S90" s="1"/>
      <c r="T90" s="1"/>
      <c r="V90" s="92"/>
    </row>
    <row r="91" spans="1:22" outlineLevel="1" x14ac:dyDescent="0.25">
      <c r="A91" s="113" t="s">
        <v>40</v>
      </c>
      <c r="B91" s="61">
        <f>ROUND(SUM(B88:B90),0)</f>
        <v>0</v>
      </c>
      <c r="C91" s="61">
        <f>ROUND(SUM(C88:C90),0)</f>
        <v>0</v>
      </c>
      <c r="D91" s="61">
        <f>ROUND(SUM(D88:D90),0)</f>
        <v>0</v>
      </c>
      <c r="E91" s="61">
        <f>ROUND(SUM(E88:E90),0)</f>
        <v>0</v>
      </c>
      <c r="F91" s="61">
        <f>ROUND(SUM(F88:F90),0)</f>
        <v>0</v>
      </c>
      <c r="G91" s="61">
        <f>SUM(B91:F91)</f>
        <v>0</v>
      </c>
      <c r="H91" s="28"/>
      <c r="R91" s="1"/>
      <c r="S91" s="1"/>
      <c r="T91" s="1"/>
      <c r="V91" s="92"/>
    </row>
    <row r="92" spans="1:22" outlineLevel="1" x14ac:dyDescent="0.25">
      <c r="B92" s="60"/>
      <c r="C92" s="60"/>
      <c r="D92" s="56"/>
      <c r="E92" s="56"/>
      <c r="F92" s="56"/>
      <c r="G92" s="54"/>
      <c r="R92" s="1"/>
      <c r="S92" s="1"/>
      <c r="T92" s="1"/>
      <c r="V92" s="92"/>
    </row>
    <row r="93" spans="1:22" outlineLevel="1" x14ac:dyDescent="0.25">
      <c r="A93" s="115" t="s">
        <v>11</v>
      </c>
      <c r="B93" s="68"/>
      <c r="C93" s="68"/>
      <c r="D93" s="68"/>
      <c r="E93" s="68"/>
      <c r="F93" s="68"/>
      <c r="G93" s="68"/>
      <c r="H93" s="29"/>
      <c r="R93" s="1"/>
      <c r="S93" s="1"/>
      <c r="T93" s="1"/>
      <c r="V93" s="92"/>
    </row>
    <row r="94" spans="1:22" outlineLevel="1" x14ac:dyDescent="0.25">
      <c r="A94" s="13" t="s">
        <v>98</v>
      </c>
      <c r="B94" s="165">
        <v>0</v>
      </c>
      <c r="C94" s="165">
        <v>0</v>
      </c>
      <c r="D94" s="165">
        <v>0</v>
      </c>
      <c r="E94" s="165">
        <v>0</v>
      </c>
      <c r="F94" s="165">
        <v>0</v>
      </c>
      <c r="G94" s="68">
        <f>SUM(B94:F94)</f>
        <v>0</v>
      </c>
      <c r="H94" s="29"/>
      <c r="R94" s="1"/>
      <c r="S94" s="1"/>
      <c r="T94" s="1"/>
      <c r="V94" s="92"/>
    </row>
    <row r="95" spans="1:22" outlineLevel="1" x14ac:dyDescent="0.25">
      <c r="A95" s="13" t="s">
        <v>99</v>
      </c>
      <c r="B95" s="165">
        <v>0</v>
      </c>
      <c r="C95" s="165">
        <v>0</v>
      </c>
      <c r="D95" s="165">
        <v>0</v>
      </c>
      <c r="E95" s="165">
        <v>0</v>
      </c>
      <c r="F95" s="165">
        <v>0</v>
      </c>
      <c r="G95" s="68">
        <f>SUM(B95:F95)</f>
        <v>0</v>
      </c>
      <c r="H95" s="29"/>
      <c r="R95" s="1"/>
      <c r="S95" s="1"/>
      <c r="T95" s="1"/>
      <c r="V95" s="92"/>
    </row>
    <row r="96" spans="1:22" outlineLevel="1" x14ac:dyDescent="0.25">
      <c r="A96" s="113" t="s">
        <v>12</v>
      </c>
      <c r="B96" s="71">
        <f>ROUND(SUM(B94:B95),0)</f>
        <v>0</v>
      </c>
      <c r="C96" s="71">
        <f>ROUND(SUM(C94:C95),0)</f>
        <v>0</v>
      </c>
      <c r="D96" s="71">
        <f>ROUND(SUM(D94:D95),0)</f>
        <v>0</v>
      </c>
      <c r="E96" s="71">
        <f>ROUND(SUM(E94:E95),0)</f>
        <v>0</v>
      </c>
      <c r="F96" s="71">
        <f>ROUND(SUM(F94:F95),0)</f>
        <v>0</v>
      </c>
      <c r="G96" s="61">
        <f>SUM(B96:F96)</f>
        <v>0</v>
      </c>
      <c r="H96" s="28"/>
      <c r="R96" s="1"/>
      <c r="S96" s="1"/>
      <c r="T96" s="1"/>
      <c r="V96" s="92"/>
    </row>
    <row r="97" spans="1:22" outlineLevel="1" x14ac:dyDescent="0.25">
      <c r="B97" s="56"/>
      <c r="C97" s="56"/>
      <c r="D97" s="56"/>
      <c r="E97" s="56"/>
      <c r="F97" s="56"/>
      <c r="G97" s="54"/>
      <c r="R97" s="1"/>
      <c r="S97" s="1"/>
      <c r="T97" s="1"/>
      <c r="V97" s="92"/>
    </row>
    <row r="98" spans="1:22" outlineLevel="1" x14ac:dyDescent="0.25">
      <c r="A98" s="2" t="s">
        <v>44</v>
      </c>
      <c r="B98" s="56"/>
      <c r="C98" s="56"/>
      <c r="D98" s="56"/>
      <c r="E98" s="56"/>
      <c r="F98" s="56"/>
      <c r="G98" s="54"/>
      <c r="R98" s="1"/>
      <c r="S98" s="1"/>
      <c r="T98" s="1"/>
      <c r="V98" s="92"/>
    </row>
    <row r="99" spans="1:22" outlineLevel="1" x14ac:dyDescent="0.25">
      <c r="A99" s="43" t="s">
        <v>44</v>
      </c>
      <c r="B99" s="74">
        <v>0</v>
      </c>
      <c r="C99" s="74">
        <v>0</v>
      </c>
      <c r="D99" s="74">
        <v>0</v>
      </c>
      <c r="E99" s="74">
        <v>0</v>
      </c>
      <c r="F99" s="74">
        <v>0</v>
      </c>
      <c r="G99" s="62">
        <f>SUM(B99:F99)</f>
        <v>0</v>
      </c>
      <c r="R99" s="1"/>
      <c r="S99" s="1"/>
      <c r="T99" s="1"/>
      <c r="V99" s="92"/>
    </row>
    <row r="100" spans="1:22" x14ac:dyDescent="0.25">
      <c r="A100" s="113" t="s">
        <v>155</v>
      </c>
      <c r="B100" s="71">
        <f>ROUND(SUM(B99),0)</f>
        <v>0</v>
      </c>
      <c r="C100" s="71">
        <f>ROUND(SUM(C99),0)</f>
        <v>0</v>
      </c>
      <c r="D100" s="71">
        <f>ROUND(SUM(D99),0)</f>
        <v>0</v>
      </c>
      <c r="E100" s="71">
        <f>ROUND(SUM(E99),0)</f>
        <v>0</v>
      </c>
      <c r="F100" s="71">
        <f>ROUND(SUM(F99),0)</f>
        <v>0</v>
      </c>
      <c r="G100" s="61">
        <f>SUM(B100:F100)</f>
        <v>0</v>
      </c>
      <c r="H100" s="28"/>
      <c r="P100" s="154"/>
      <c r="Q100" s="154"/>
      <c r="R100" s="1"/>
      <c r="S100" s="1"/>
      <c r="T100" s="1"/>
    </row>
    <row r="101" spans="1:22" outlineLevel="1" x14ac:dyDescent="0.25">
      <c r="B101" s="56"/>
      <c r="C101" s="56"/>
      <c r="D101" s="56"/>
      <c r="E101" s="56"/>
      <c r="F101" s="56"/>
      <c r="G101" s="54"/>
      <c r="R101" s="1"/>
      <c r="S101" s="1"/>
      <c r="T101" s="1"/>
      <c r="V101" s="92"/>
    </row>
    <row r="102" spans="1:22" x14ac:dyDescent="0.25">
      <c r="A102" s="117" t="s">
        <v>33</v>
      </c>
      <c r="B102" s="67"/>
      <c r="C102" s="67"/>
      <c r="D102" s="56"/>
      <c r="E102" s="56"/>
      <c r="F102" s="56"/>
      <c r="G102" s="54"/>
      <c r="R102" s="1"/>
      <c r="S102" s="1"/>
      <c r="T102" s="1"/>
      <c r="V102" s="92"/>
    </row>
    <row r="103" spans="1:22" x14ac:dyDescent="0.25">
      <c r="A103" s="43" t="s">
        <v>31</v>
      </c>
      <c r="B103" s="74">
        <f>SUM(J52,J57,J62)</f>
        <v>0</v>
      </c>
      <c r="C103" s="74">
        <f>SUM(K52,K57,K62)</f>
        <v>0</v>
      </c>
      <c r="D103" s="74">
        <f>SUM(L52,L57,L62)</f>
        <v>0</v>
      </c>
      <c r="E103" s="74">
        <f>SUM(M52,M57,M62)</f>
        <v>0</v>
      </c>
      <c r="F103" s="74">
        <f>SUM(N52,N57,N62)</f>
        <v>0</v>
      </c>
      <c r="G103" s="62">
        <f>SUM(B103:F103)</f>
        <v>0</v>
      </c>
      <c r="R103" s="1"/>
      <c r="S103" s="1"/>
      <c r="T103" s="1"/>
      <c r="V103" s="92"/>
    </row>
    <row r="104" spans="1:22" x14ac:dyDescent="0.25">
      <c r="A104" s="43" t="s">
        <v>97</v>
      </c>
      <c r="B104" s="164">
        <v>0</v>
      </c>
      <c r="C104" s="164">
        <v>0</v>
      </c>
      <c r="D104" s="164">
        <v>0</v>
      </c>
      <c r="E104" s="164">
        <v>0</v>
      </c>
      <c r="F104" s="164">
        <v>0</v>
      </c>
      <c r="G104" s="62">
        <f>SUM(B104:F104)</f>
        <v>0</v>
      </c>
      <c r="H104" s="3"/>
      <c r="R104" s="1"/>
      <c r="S104" s="1"/>
      <c r="T104" s="1"/>
      <c r="V104" s="92"/>
    </row>
    <row r="105" spans="1:22" outlineLevel="1" x14ac:dyDescent="0.25">
      <c r="A105" s="43"/>
      <c r="B105" s="73"/>
      <c r="C105" s="73"/>
      <c r="D105" s="73"/>
      <c r="E105" s="73"/>
      <c r="F105" s="73"/>
      <c r="G105" s="62"/>
      <c r="R105" s="1"/>
      <c r="S105" s="1"/>
      <c r="T105" s="1"/>
      <c r="V105" s="92"/>
    </row>
    <row r="106" spans="1:22" outlineLevel="1" x14ac:dyDescent="0.25">
      <c r="A106" s="84" t="s">
        <v>88</v>
      </c>
      <c r="B106" s="69">
        <v>0</v>
      </c>
      <c r="C106" s="69">
        <v>0</v>
      </c>
      <c r="D106" s="69">
        <v>0</v>
      </c>
      <c r="E106" s="69">
        <v>0</v>
      </c>
      <c r="F106" s="69">
        <v>0</v>
      </c>
      <c r="G106" s="54">
        <f t="shared" ref="G106:G112" si="0">SUM(B106:F106)</f>
        <v>0</v>
      </c>
      <c r="H106" s="14"/>
      <c r="R106" s="1"/>
      <c r="S106" s="1"/>
      <c r="T106" s="1"/>
      <c r="V106" s="92"/>
    </row>
    <row r="107" spans="1:22" outlineLevel="1" x14ac:dyDescent="0.25">
      <c r="A107" s="84" t="s">
        <v>89</v>
      </c>
      <c r="B107" s="69">
        <v>0</v>
      </c>
      <c r="C107" s="69">
        <v>0</v>
      </c>
      <c r="D107" s="69">
        <v>0</v>
      </c>
      <c r="E107" s="69">
        <v>0</v>
      </c>
      <c r="F107" s="69">
        <v>0</v>
      </c>
      <c r="G107" s="54">
        <f t="shared" si="0"/>
        <v>0</v>
      </c>
      <c r="H107" s="14"/>
      <c r="R107" s="1"/>
      <c r="S107" s="1"/>
      <c r="T107" s="1"/>
      <c r="V107" s="92"/>
    </row>
    <row r="108" spans="1:22" x14ac:dyDescent="0.25">
      <c r="A108" s="84" t="s">
        <v>90</v>
      </c>
      <c r="B108" s="69">
        <v>0</v>
      </c>
      <c r="C108" s="69">
        <v>0</v>
      </c>
      <c r="D108" s="69">
        <v>0</v>
      </c>
      <c r="E108" s="69">
        <v>0</v>
      </c>
      <c r="F108" s="69">
        <v>0</v>
      </c>
      <c r="G108" s="54">
        <f t="shared" si="0"/>
        <v>0</v>
      </c>
      <c r="H108" s="14"/>
      <c r="R108" s="1"/>
      <c r="S108" s="1"/>
      <c r="T108" s="1"/>
      <c r="V108" s="92"/>
    </row>
    <row r="109" spans="1:22" x14ac:dyDescent="0.25">
      <c r="A109" s="84" t="s">
        <v>91</v>
      </c>
      <c r="B109" s="69">
        <v>0</v>
      </c>
      <c r="C109" s="69">
        <v>0</v>
      </c>
      <c r="D109" s="69">
        <v>0</v>
      </c>
      <c r="E109" s="69">
        <v>0</v>
      </c>
      <c r="F109" s="69">
        <v>0</v>
      </c>
      <c r="G109" s="54">
        <f t="shared" si="0"/>
        <v>0</v>
      </c>
      <c r="H109" s="14"/>
      <c r="R109" s="1"/>
      <c r="S109" s="1"/>
      <c r="T109" s="1"/>
      <c r="V109" s="92"/>
    </row>
    <row r="110" spans="1:22" x14ac:dyDescent="0.25">
      <c r="A110" s="84" t="s">
        <v>102</v>
      </c>
      <c r="B110" s="69">
        <v>0</v>
      </c>
      <c r="C110" s="69">
        <v>0</v>
      </c>
      <c r="D110" s="69">
        <v>0</v>
      </c>
      <c r="E110" s="69">
        <v>0</v>
      </c>
      <c r="F110" s="69">
        <v>0</v>
      </c>
      <c r="G110" s="54">
        <f t="shared" si="0"/>
        <v>0</v>
      </c>
      <c r="H110" s="14"/>
      <c r="R110" s="1"/>
      <c r="S110" s="1"/>
      <c r="T110" s="1"/>
      <c r="V110" s="92"/>
    </row>
    <row r="111" spans="1:22" outlineLevel="1" x14ac:dyDescent="0.25">
      <c r="A111" s="186" t="s">
        <v>103</v>
      </c>
      <c r="B111" s="69">
        <v>0</v>
      </c>
      <c r="C111" s="69">
        <v>0</v>
      </c>
      <c r="D111" s="69">
        <v>0</v>
      </c>
      <c r="E111" s="69">
        <v>0</v>
      </c>
      <c r="F111" s="69">
        <v>0</v>
      </c>
      <c r="G111" s="54">
        <f t="shared" si="0"/>
        <v>0</v>
      </c>
      <c r="H111" s="14"/>
      <c r="R111" s="1"/>
      <c r="S111" s="1"/>
      <c r="T111" s="1"/>
      <c r="V111" s="92"/>
    </row>
    <row r="112" spans="1:22" outlineLevel="1" x14ac:dyDescent="0.25">
      <c r="A112" s="118" t="s">
        <v>87</v>
      </c>
      <c r="B112" s="58">
        <f>SUM(B106:B111)</f>
        <v>0</v>
      </c>
      <c r="C112" s="58">
        <f>SUM(C106:C111)</f>
        <v>0</v>
      </c>
      <c r="D112" s="58">
        <f>SUM(D106:D111)</f>
        <v>0</v>
      </c>
      <c r="E112" s="58">
        <f>SUM(E106:E111)</f>
        <v>0</v>
      </c>
      <c r="F112" s="58">
        <f>SUM(F106:F111)</f>
        <v>0</v>
      </c>
      <c r="G112" s="59">
        <f t="shared" si="0"/>
        <v>0</v>
      </c>
      <c r="H112" s="28"/>
      <c r="R112" s="1"/>
      <c r="S112" s="1"/>
      <c r="T112" s="1"/>
      <c r="V112" s="92"/>
    </row>
    <row r="113" spans="1:22" x14ac:dyDescent="0.25">
      <c r="A113" s="44"/>
      <c r="B113" s="75"/>
      <c r="C113" s="75"/>
      <c r="D113" s="75"/>
      <c r="E113" s="75"/>
      <c r="F113" s="75"/>
      <c r="G113" s="75"/>
      <c r="H113" s="28"/>
      <c r="R113" s="1"/>
      <c r="S113" s="1"/>
      <c r="T113" s="1"/>
      <c r="V113" s="92"/>
    </row>
    <row r="114" spans="1:22" x14ac:dyDescent="0.25">
      <c r="A114" s="119" t="s">
        <v>38</v>
      </c>
      <c r="B114" s="71">
        <f>ROUND(SUM(B103:B104,B112),0)</f>
        <v>0</v>
      </c>
      <c r="C114" s="71">
        <f>ROUND(SUM(C103:C104,C112),0)</f>
        <v>0</v>
      </c>
      <c r="D114" s="71">
        <f>ROUND(SUM(D103:D104,D112),0)</f>
        <v>0</v>
      </c>
      <c r="E114" s="71">
        <f>ROUND(SUM(E103:E104,E112),0)</f>
        <v>0</v>
      </c>
      <c r="F114" s="71">
        <f>ROUND(SUM(F103:F104,F112),0)</f>
        <v>0</v>
      </c>
      <c r="G114" s="61">
        <f>SUM(B114:F114)</f>
        <v>0</v>
      </c>
      <c r="H114" s="28"/>
      <c r="R114" s="1"/>
      <c r="S114" s="1"/>
      <c r="T114" s="1"/>
      <c r="V114" s="92"/>
    </row>
    <row r="115" spans="1:22" x14ac:dyDescent="0.25">
      <c r="A115" s="45"/>
      <c r="B115" s="76"/>
      <c r="C115" s="76"/>
      <c r="D115" s="77"/>
      <c r="E115" s="77"/>
      <c r="F115" s="77"/>
      <c r="G115" s="62"/>
      <c r="R115" s="1"/>
      <c r="S115" s="1"/>
      <c r="T115" s="1"/>
      <c r="V115" s="92"/>
    </row>
    <row r="116" spans="1:22" outlineLevel="1" x14ac:dyDescent="0.25">
      <c r="A116" s="120" t="s">
        <v>92</v>
      </c>
      <c r="B116" s="110">
        <f>B118-B107-B109-B111</f>
        <v>0</v>
      </c>
      <c r="C116" s="110">
        <f>C118-C107-C109-C111</f>
        <v>0</v>
      </c>
      <c r="D116" s="110">
        <f>D118-D107-D109-D111</f>
        <v>0</v>
      </c>
      <c r="E116" s="110">
        <f>E118-E107-E109-E111</f>
        <v>0</v>
      </c>
      <c r="F116" s="110">
        <f>F118-F107-F109-F111</f>
        <v>0</v>
      </c>
      <c r="G116" s="111">
        <f>SUM(B116:F116)</f>
        <v>0</v>
      </c>
      <c r="R116" s="1"/>
      <c r="S116" s="1"/>
      <c r="T116" s="1"/>
      <c r="V116" s="92"/>
    </row>
    <row r="117" spans="1:22" outlineLevel="1" x14ac:dyDescent="0.25">
      <c r="A117" s="45"/>
      <c r="B117" s="76"/>
      <c r="C117" s="76"/>
      <c r="D117" s="77"/>
      <c r="E117" s="77"/>
      <c r="F117" s="77"/>
      <c r="G117" s="62"/>
      <c r="R117" s="1"/>
      <c r="S117" s="1"/>
      <c r="T117" s="1"/>
      <c r="V117" s="92"/>
    </row>
    <row r="118" spans="1:22" outlineLevel="1" x14ac:dyDescent="0.25">
      <c r="A118" s="117" t="s">
        <v>2</v>
      </c>
      <c r="B118" s="78">
        <f>SUM(B85,B91,B96,B100,B114)</f>
        <v>0</v>
      </c>
      <c r="C118" s="78">
        <f>SUM(C85,C91,C96,C100,C114)</f>
        <v>0</v>
      </c>
      <c r="D118" s="78">
        <f>SUM(D85,D91,D96,D100,D114)</f>
        <v>0</v>
      </c>
      <c r="E118" s="78">
        <f>SUM(E85,E91,E96,E100,E114)</f>
        <v>0</v>
      </c>
      <c r="F118" s="78">
        <f>SUM(F85,F91,F96,F100,F114)</f>
        <v>0</v>
      </c>
      <c r="G118" s="62">
        <f t="shared" ref="G118:G123" si="1">SUM(B118:F118)</f>
        <v>0</v>
      </c>
      <c r="H118" s="3"/>
      <c r="R118" s="1"/>
      <c r="S118" s="1"/>
      <c r="T118" s="1"/>
      <c r="V118" s="92"/>
    </row>
    <row r="119" spans="1:22" outlineLevel="1" x14ac:dyDescent="0.25">
      <c r="A119" s="43" t="s">
        <v>45</v>
      </c>
      <c r="B119" s="93">
        <f>-B91</f>
        <v>0</v>
      </c>
      <c r="C119" s="93">
        <f>-C91</f>
        <v>0</v>
      </c>
      <c r="D119" s="93">
        <f>-D91</f>
        <v>0</v>
      </c>
      <c r="E119" s="93">
        <f>-E91</f>
        <v>0</v>
      </c>
      <c r="F119" s="93">
        <f>-F91</f>
        <v>0</v>
      </c>
      <c r="G119" s="62">
        <f t="shared" si="1"/>
        <v>0</v>
      </c>
      <c r="H119" s="3"/>
      <c r="R119" s="1"/>
      <c r="S119" s="1"/>
      <c r="T119" s="1"/>
      <c r="V119" s="92"/>
    </row>
    <row r="120" spans="1:22" outlineLevel="1" x14ac:dyDescent="0.25">
      <c r="A120" s="104" t="s">
        <v>32</v>
      </c>
      <c r="B120" s="93">
        <f>-B103</f>
        <v>0</v>
      </c>
      <c r="C120" s="93">
        <f>-C103</f>
        <v>0</v>
      </c>
      <c r="D120" s="93">
        <f>-D103</f>
        <v>0</v>
      </c>
      <c r="E120" s="78">
        <f>-E103</f>
        <v>0</v>
      </c>
      <c r="F120" s="78">
        <f>-F103</f>
        <v>0</v>
      </c>
      <c r="G120" s="62">
        <f t="shared" si="1"/>
        <v>0</v>
      </c>
      <c r="H120" s="3"/>
      <c r="R120" s="1"/>
      <c r="S120" s="1"/>
      <c r="T120" s="1"/>
      <c r="V120" s="92"/>
    </row>
    <row r="121" spans="1:22" outlineLevel="1" x14ac:dyDescent="0.25">
      <c r="A121" s="104" t="s">
        <v>47</v>
      </c>
      <c r="B121" s="109">
        <f>-B100</f>
        <v>0</v>
      </c>
      <c r="C121" s="109">
        <f>-C100</f>
        <v>0</v>
      </c>
      <c r="D121" s="109">
        <f>-D100</f>
        <v>0</v>
      </c>
      <c r="E121" s="109">
        <f>-E100</f>
        <v>0</v>
      </c>
      <c r="F121" s="109">
        <f>-F100</f>
        <v>0</v>
      </c>
      <c r="G121" s="62">
        <f t="shared" si="1"/>
        <v>0</v>
      </c>
      <c r="H121" s="3"/>
      <c r="R121" s="1"/>
      <c r="S121" s="1"/>
      <c r="T121" s="1"/>
      <c r="V121" s="92"/>
    </row>
    <row r="122" spans="1:22" outlineLevel="1" x14ac:dyDescent="0.25">
      <c r="A122" s="104" t="s">
        <v>46</v>
      </c>
      <c r="B122" s="79">
        <v>0</v>
      </c>
      <c r="C122" s="79">
        <v>0</v>
      </c>
      <c r="D122" s="79">
        <v>0</v>
      </c>
      <c r="E122" s="79">
        <v>0</v>
      </c>
      <c r="F122" s="79">
        <v>0</v>
      </c>
      <c r="G122" s="54">
        <f t="shared" si="1"/>
        <v>0</v>
      </c>
      <c r="H122" s="3"/>
      <c r="R122" s="1"/>
      <c r="S122" s="1"/>
      <c r="T122" s="1"/>
      <c r="V122" s="92"/>
    </row>
    <row r="123" spans="1:22" x14ac:dyDescent="0.25">
      <c r="A123" s="113" t="s">
        <v>13</v>
      </c>
      <c r="B123" s="61">
        <f>ROUND(SUM(B118:B122),0)</f>
        <v>0</v>
      </c>
      <c r="C123" s="61">
        <f>ROUND(SUM(C118:C122),0)</f>
        <v>0</v>
      </c>
      <c r="D123" s="61">
        <f>ROUND(SUM(D118:D122),0)</f>
        <v>0</v>
      </c>
      <c r="E123" s="61">
        <f>ROUND(SUM(E118:E122),0)</f>
        <v>0</v>
      </c>
      <c r="F123" s="61">
        <f>ROUND(SUM(F118:F122),0)</f>
        <v>0</v>
      </c>
      <c r="G123" s="59">
        <f t="shared" si="1"/>
        <v>0</v>
      </c>
      <c r="H123" s="3"/>
      <c r="P123" s="161" t="s">
        <v>130</v>
      </c>
      <c r="Q123" s="161" t="s">
        <v>129</v>
      </c>
      <c r="R123" s="1"/>
      <c r="S123" s="1"/>
      <c r="T123" s="1"/>
      <c r="V123" s="92"/>
    </row>
    <row r="124" spans="1:22" x14ac:dyDescent="0.25">
      <c r="A124" s="30"/>
      <c r="B124" s="80"/>
      <c r="C124" s="80"/>
      <c r="D124" s="56"/>
      <c r="E124" s="56"/>
      <c r="F124" s="56"/>
      <c r="G124" s="54"/>
      <c r="P124" s="158"/>
      <c r="Q124" s="154" t="s">
        <v>120</v>
      </c>
      <c r="R124" s="1"/>
      <c r="S124" s="1"/>
      <c r="T124" s="1"/>
      <c r="V124" s="92"/>
    </row>
    <row r="125" spans="1:22" x14ac:dyDescent="0.25">
      <c r="A125" s="115" t="s">
        <v>30</v>
      </c>
      <c r="B125" s="80"/>
      <c r="C125" s="80"/>
      <c r="D125" s="56"/>
      <c r="E125" s="56"/>
      <c r="F125" s="56"/>
      <c r="G125" s="54"/>
      <c r="I125" s="161" t="s">
        <v>119</v>
      </c>
      <c r="J125" s="151" t="s">
        <v>121</v>
      </c>
      <c r="P125" s="154"/>
      <c r="Q125" s="154" t="s">
        <v>131</v>
      </c>
      <c r="R125" s="1"/>
      <c r="S125" s="1"/>
      <c r="T125" s="1"/>
      <c r="V125" s="92"/>
    </row>
    <row r="126" spans="1:22" x14ac:dyDescent="0.25">
      <c r="A126" s="104" t="str">
        <f>IF(J126="TC","F&amp;A Costs @ "&amp;ROUND(I126/(1-I126),4)*100&amp;"% TDC or " &amp;I126*100&amp;"% TC", "F&amp;A Costs @ "&amp;I126*100&amp;"% "&amp;J126)</f>
        <v>F&amp;A Costs @ 0% MTDC</v>
      </c>
      <c r="B126" s="56">
        <f>IF($J$126="MTDC",(B123*$I$126),IF($J$126="TDC",(B118*$I$126),IF($J$126="TC",(B118*($I$126/(1-$I$126))))))</f>
        <v>0</v>
      </c>
      <c r="C126" s="56">
        <f>IF($J$126="MTDC",(C123*$I$126),IF($J$126="TDC",(C118*$I$126),IF($J$126="TC",(C118*($I$126/(1-$I$126))))))</f>
        <v>0</v>
      </c>
      <c r="D126" s="56">
        <f>IF($J$126="MTDC",(D123*$I$126),IF($J$126="TDC",(D118*$I$126),IF($J$126="TC",(D118*($I$126/(1-$I$126))))))</f>
        <v>0</v>
      </c>
      <c r="E126" s="56">
        <f>IF($J$126="MTDC",(E123*$I$126),IF($J$126="TDC",(E118*$I$126),IF($J$126="TC",(E118*($I$126/(1-$I$126))))))</f>
        <v>0</v>
      </c>
      <c r="F126" s="56">
        <f>IF($J$126="MTDC",(F123*$I$126),IF($J$126="TDC",(F118*$I$126),IF($J$126="TC",(F118*($I$126/(1-$I$126))))))</f>
        <v>0</v>
      </c>
      <c r="G126" s="54">
        <f>SUM(B126:F126)</f>
        <v>0</v>
      </c>
      <c r="H126" s="3"/>
      <c r="I126" s="149">
        <v>0</v>
      </c>
      <c r="J126" s="150" t="s">
        <v>120</v>
      </c>
      <c r="P126" s="154"/>
      <c r="Q126" s="154" t="s">
        <v>132</v>
      </c>
      <c r="R126" s="1"/>
      <c r="S126" s="1"/>
      <c r="T126" s="1"/>
      <c r="V126" s="92"/>
    </row>
    <row r="127" spans="1:22" x14ac:dyDescent="0.25">
      <c r="A127" s="113" t="s">
        <v>53</v>
      </c>
      <c r="B127" s="61">
        <f>ROUND(SUM(B126:B126),0)</f>
        <v>0</v>
      </c>
      <c r="C127" s="61">
        <f>ROUND(SUM(C126:C126),0)</f>
        <v>0</v>
      </c>
      <c r="D127" s="61">
        <f>ROUND(SUM(D126:D126),0)</f>
        <v>0</v>
      </c>
      <c r="E127" s="61">
        <f>ROUND(SUM(E126:E126),0)</f>
        <v>0</v>
      </c>
      <c r="F127" s="61">
        <f>ROUND(SUM(F126:F126),0)</f>
        <v>0</v>
      </c>
      <c r="G127" s="59">
        <f>SUM(B127:F127)</f>
        <v>0</v>
      </c>
      <c r="H127" s="3"/>
      <c r="R127" s="1"/>
      <c r="S127" s="1"/>
      <c r="T127" s="1"/>
      <c r="V127" s="92"/>
    </row>
    <row r="128" spans="1:22" x14ac:dyDescent="0.25">
      <c r="A128" s="13"/>
      <c r="B128" s="56"/>
      <c r="C128" s="56"/>
      <c r="D128" s="56"/>
      <c r="E128" s="56"/>
      <c r="F128" s="56"/>
      <c r="G128" s="54"/>
      <c r="I128" s="160"/>
      <c r="R128" s="1"/>
      <c r="S128" s="1"/>
      <c r="T128" s="1"/>
      <c r="V128" s="92"/>
    </row>
    <row r="129" spans="1:22" x14ac:dyDescent="0.25">
      <c r="A129" s="114" t="s">
        <v>96</v>
      </c>
      <c r="B129" s="66">
        <f>B118+B127</f>
        <v>0</v>
      </c>
      <c r="C129" s="66">
        <f>C118+C127</f>
        <v>0</v>
      </c>
      <c r="D129" s="66">
        <f>D118+D127</f>
        <v>0</v>
      </c>
      <c r="E129" s="66">
        <f>E118+E127</f>
        <v>0</v>
      </c>
      <c r="F129" s="66">
        <f>F118+F127</f>
        <v>0</v>
      </c>
      <c r="G129" s="66">
        <f>SUM(B129:F129)</f>
        <v>0</v>
      </c>
      <c r="H129" s="3"/>
      <c r="R129" s="1"/>
      <c r="S129" s="1"/>
      <c r="T129" s="1"/>
      <c r="V129" s="92"/>
    </row>
    <row r="130" spans="1:22" ht="16.5" thickBot="1" x14ac:dyDescent="0.3">
      <c r="R130" s="1"/>
      <c r="S130" s="1"/>
      <c r="T130" s="1"/>
      <c r="V130" s="92"/>
    </row>
    <row r="131" spans="1:22" ht="45" customHeight="1" thickBot="1" x14ac:dyDescent="0.3">
      <c r="A131" s="459" t="s">
        <v>57</v>
      </c>
      <c r="B131" s="460"/>
      <c r="C131" s="460"/>
      <c r="D131" s="460"/>
      <c r="E131" s="460"/>
      <c r="F131" s="460"/>
      <c r="G131" s="461"/>
    </row>
    <row r="134" spans="1:22" x14ac:dyDescent="0.25">
      <c r="A134" s="31"/>
    </row>
  </sheetData>
  <sheetProtection formatCells="0" formatColumns="0" formatRows="0" insertRows="0" deleteColumns="0" deleteRows="0" selectLockedCells="1" sort="0"/>
  <mergeCells count="13">
    <mergeCell ref="A2:G2"/>
    <mergeCell ref="I1:O1"/>
    <mergeCell ref="A4:G4"/>
    <mergeCell ref="A131:G131"/>
    <mergeCell ref="A9:A10"/>
    <mergeCell ref="A15:A16"/>
    <mergeCell ref="A21:A22"/>
    <mergeCell ref="A27:A28"/>
    <mergeCell ref="A33:A34"/>
    <mergeCell ref="A39:A40"/>
    <mergeCell ref="A55:A56"/>
    <mergeCell ref="A60:A61"/>
    <mergeCell ref="A65:A66"/>
  </mergeCells>
  <dataValidations count="2">
    <dataValidation type="list" allowBlank="1" showInputMessage="1" showErrorMessage="1" sqref="U11 U17 U23 U29 U35 U41 U63 U58 U53" xr:uid="{00000000-0002-0000-0800-000000000000}">
      <formula1>$R$3:$R$4</formula1>
    </dataValidation>
    <dataValidation type="list" allowBlank="1" showInputMessage="1" showErrorMessage="1" sqref="J126" xr:uid="{00000000-0002-0000-0800-000001000000}">
      <formula1>$Q$124:$Q$126</formula1>
    </dataValidation>
  </dataValidations>
  <printOptions horizontalCentered="1"/>
  <pageMargins left="0.5" right="0.5" top="0.5" bottom="0.5" header="0.25" footer="0.25"/>
  <pageSetup scale="34" orientation="portrait"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134"/>
  <sheetViews>
    <sheetView zoomScale="80" zoomScaleNormal="80" workbookViewId="0">
      <pane ySplit="5" topLeftCell="A6" activePane="bottomLeft" state="frozen"/>
      <selection activeCell="O39" sqref="O39"/>
      <selection pane="bottomLeft"/>
    </sheetView>
  </sheetViews>
  <sheetFormatPr defaultColWidth="8.7109375" defaultRowHeight="15.75" outlineLevelRow="1" x14ac:dyDescent="0.25"/>
  <cols>
    <col min="1" max="1" width="55.7109375" style="1" customWidth="1"/>
    <col min="2" max="6" width="13.7109375" style="1" customWidth="1"/>
    <col min="7" max="7" width="14.7109375" style="2" customWidth="1"/>
    <col min="8" max="8" width="2.7109375" style="2" customWidth="1"/>
    <col min="9" max="9" width="33" style="1" customWidth="1"/>
    <col min="10" max="14" width="11.7109375" style="1" customWidth="1"/>
    <col min="15" max="15" width="14.42578125" style="1" bestFit="1" customWidth="1"/>
    <col min="16" max="16" width="6.28515625" style="1" hidden="1" customWidth="1"/>
    <col min="17" max="17" width="8.7109375" style="1" hidden="1" customWidth="1"/>
    <col min="18" max="18" width="8.7109375" style="92" hidden="1" customWidth="1"/>
    <col min="19" max="19" width="3.42578125" style="92" customWidth="1"/>
    <col min="20" max="20" width="28.42578125" style="92" bestFit="1" customWidth="1"/>
    <col min="21" max="21" width="12.7109375" style="1" customWidth="1"/>
    <col min="22" max="22" width="12" style="1" bestFit="1" customWidth="1"/>
    <col min="23" max="16384" width="8.7109375" style="1"/>
  </cols>
  <sheetData>
    <row r="1" spans="1:23" s="2" customFormat="1" ht="40.35" customHeight="1" x14ac:dyDescent="0.3">
      <c r="A1" s="47"/>
      <c r="B1" s="1"/>
      <c r="G1" s="3"/>
      <c r="I1" s="488" t="s">
        <v>18</v>
      </c>
      <c r="J1" s="489"/>
      <c r="K1" s="489"/>
      <c r="L1" s="489"/>
      <c r="M1" s="489"/>
      <c r="N1" s="489"/>
      <c r="O1" s="490"/>
      <c r="U1" s="5"/>
      <c r="V1" s="5"/>
    </row>
    <row r="2" spans="1:23" s="2" customFormat="1" x14ac:dyDescent="0.25">
      <c r="A2" s="480" t="s">
        <v>106</v>
      </c>
      <c r="B2" s="480"/>
      <c r="C2" s="480"/>
      <c r="D2" s="480"/>
      <c r="E2" s="480"/>
      <c r="F2" s="480"/>
      <c r="G2" s="480"/>
      <c r="I2" s="38"/>
      <c r="J2" s="50" t="s">
        <v>28</v>
      </c>
      <c r="K2" s="50"/>
      <c r="L2" s="50"/>
      <c r="M2" s="50"/>
      <c r="N2" s="50"/>
      <c r="O2" s="51" t="s">
        <v>29</v>
      </c>
      <c r="P2" s="1">
        <f>IF(MONTH(J3)&gt;6, 12+7-MONTH(J3), 7-MONTH(J3))</f>
        <v>12</v>
      </c>
      <c r="R2" s="2" t="s">
        <v>125</v>
      </c>
      <c r="T2" s="161" t="s">
        <v>152</v>
      </c>
      <c r="U2" s="163">
        <f>Budget!U1</f>
        <v>0</v>
      </c>
    </row>
    <row r="3" spans="1:23" x14ac:dyDescent="0.25">
      <c r="A3" s="115" t="str">
        <f>"Period of Performance: "&amp;TEXT(J3, "mm/dd/yy")&amp;" - "&amp;TEXT(O3, "mm/dd/yy")&amp;" ["&amp;ROUND(J5,2)&amp; " Year(s)]"</f>
        <v>Period of Performance: 07/01/24 - 01/00/00 [124.5 Year(s)]</v>
      </c>
      <c r="B3" s="116"/>
      <c r="C3" s="116"/>
      <c r="D3" s="116"/>
      <c r="E3" s="116"/>
      <c r="F3" s="116"/>
      <c r="G3" s="115"/>
      <c r="I3" s="53" t="s">
        <v>52</v>
      </c>
      <c r="J3" s="39">
        <f>Budget!J4</f>
        <v>45474</v>
      </c>
      <c r="K3" s="39"/>
      <c r="L3" s="39"/>
      <c r="M3" s="39"/>
      <c r="N3" s="39"/>
      <c r="O3" s="40">
        <f>Budget!O4</f>
        <v>0</v>
      </c>
      <c r="P3" s="1">
        <f>IF(DAY(J3)&gt;1,(P2-1+((DAY(DATE(YEAR(J3),MONTH(J3)+1,0))-DAY(J3))/DAY(DATE(YEAR(J3),MONTH(J3)+1,0)))),P2)</f>
        <v>12</v>
      </c>
      <c r="R3" s="1" t="s">
        <v>123</v>
      </c>
      <c r="S3" s="1"/>
      <c r="T3" s="161" t="s">
        <v>148</v>
      </c>
      <c r="U3" s="252"/>
      <c r="V3" s="253"/>
      <c r="W3" s="184" t="s">
        <v>161</v>
      </c>
    </row>
    <row r="4" spans="1:23" x14ac:dyDescent="0.25">
      <c r="A4" s="491" t="s">
        <v>150</v>
      </c>
      <c r="B4" s="491"/>
      <c r="C4" s="491"/>
      <c r="D4" s="491"/>
      <c r="E4" s="491"/>
      <c r="F4" s="491"/>
      <c r="G4" s="491"/>
      <c r="I4" s="9"/>
      <c r="J4" s="5" t="s">
        <v>80</v>
      </c>
      <c r="K4" s="5"/>
      <c r="L4" s="5"/>
      <c r="M4" s="5"/>
      <c r="N4" s="5"/>
      <c r="O4" s="49" t="s">
        <v>14</v>
      </c>
      <c r="P4" s="1">
        <f>IF(O3-J3&lt;366, P3/((YEAR(O3)-YEAR(J3))*12+MONTH(O3)-MONTH(J3)+1),0)</f>
        <v>-8.0375083724045539E-3</v>
      </c>
      <c r="R4" s="1" t="s">
        <v>124</v>
      </c>
      <c r="S4" s="1"/>
      <c r="T4" s="5" t="s">
        <v>81</v>
      </c>
      <c r="U4" s="5" t="s">
        <v>82</v>
      </c>
      <c r="V4" s="5" t="s">
        <v>86</v>
      </c>
    </row>
    <row r="5" spans="1:23" s="5" customFormat="1" x14ac:dyDescent="0.25">
      <c r="B5" s="6" t="s">
        <v>6</v>
      </c>
      <c r="C5" s="7" t="s">
        <v>5</v>
      </c>
      <c r="D5" s="7" t="s">
        <v>7</v>
      </c>
      <c r="E5" s="7" t="s">
        <v>8</v>
      </c>
      <c r="F5" s="7" t="s">
        <v>9</v>
      </c>
      <c r="G5" s="7" t="s">
        <v>10</v>
      </c>
      <c r="I5" s="8"/>
      <c r="J5" s="52">
        <f>YEARFRAC(J3, O3)</f>
        <v>124.50277777777778</v>
      </c>
      <c r="K5" s="52"/>
      <c r="L5" s="52"/>
      <c r="M5" s="52"/>
      <c r="N5" s="52"/>
      <c r="O5" s="41">
        <v>0</v>
      </c>
      <c r="T5" s="5" t="s">
        <v>51</v>
      </c>
      <c r="U5" s="5" t="s">
        <v>83</v>
      </c>
      <c r="V5" s="5" t="s">
        <v>122</v>
      </c>
    </row>
    <row r="6" spans="1:23" s="2" customFormat="1" x14ac:dyDescent="0.25">
      <c r="A6" s="115" t="s">
        <v>3</v>
      </c>
      <c r="B6" s="54"/>
      <c r="C6" s="54"/>
      <c r="D6" s="54"/>
      <c r="E6" s="54"/>
      <c r="F6" s="54"/>
      <c r="G6" s="54"/>
      <c r="I6" s="9"/>
      <c r="J6" s="5" t="s">
        <v>6</v>
      </c>
      <c r="K6" s="5" t="s">
        <v>5</v>
      </c>
      <c r="L6" s="5" t="s">
        <v>7</v>
      </c>
      <c r="M6" s="5" t="s">
        <v>8</v>
      </c>
      <c r="N6" s="5" t="s">
        <v>9</v>
      </c>
      <c r="O6" s="10"/>
      <c r="T6" s="89"/>
      <c r="U6" s="5"/>
      <c r="V6" s="5"/>
    </row>
    <row r="7" spans="1:23" outlineLevel="1" x14ac:dyDescent="0.25">
      <c r="A7" s="23" t="s">
        <v>84</v>
      </c>
      <c r="B7" s="55"/>
      <c r="C7" s="56"/>
      <c r="D7" s="56"/>
      <c r="E7" s="56"/>
      <c r="F7" s="56"/>
      <c r="G7" s="54"/>
      <c r="I7" s="106" t="s">
        <v>128</v>
      </c>
      <c r="J7" s="5">
        <f>IF(U11="F",J8*12,SUM(J9*9,J10))</f>
        <v>0</v>
      </c>
      <c r="K7" s="5">
        <f>IF(U11="F",K8*12,SUM(K9*9,K10))</f>
        <v>0</v>
      </c>
      <c r="L7" s="5">
        <f>IF(U11="F",L8*12,SUM(L9*9,L10))</f>
        <v>0</v>
      </c>
      <c r="M7" s="5">
        <f>IF(U11="F",M8*12,SUM(M9*9,M10))</f>
        <v>0</v>
      </c>
      <c r="N7" s="5">
        <f>IF(U11="F",N8*12,SUM(N9*9,N10))</f>
        <v>0</v>
      </c>
      <c r="O7" s="49" t="s">
        <v>51</v>
      </c>
      <c r="P7" s="153" t="s">
        <v>126</v>
      </c>
      <c r="Q7" s="153" t="s">
        <v>127</v>
      </c>
      <c r="R7" s="11"/>
      <c r="S7" s="12"/>
      <c r="T7" s="90"/>
      <c r="U7" s="92"/>
      <c r="V7" s="92"/>
    </row>
    <row r="8" spans="1:23" outlineLevel="1" x14ac:dyDescent="0.25">
      <c r="A8" s="13" t="str">
        <f>ROUND(P8*100, 2)&amp;"% Avg. Fiscal Effort, "&amp;ROUND(Q8, 2)&amp;" Avg. Calendar Months"</f>
        <v>0% Avg. Fiscal Effort, 0 Avg. Calendar Months</v>
      </c>
      <c r="B8" s="55">
        <f>O8*J8</f>
        <v>0</v>
      </c>
      <c r="C8" s="55">
        <f>IF($J$5&gt;1,IF($U$2&lt;&gt;0,IF(O8*(1+$O$5)&lt;=$U$2,O8*K8*(1+$O$5),$U$2*K8),O8*K8*(1+$O$5)),0)</f>
        <v>0</v>
      </c>
      <c r="D8" s="55">
        <f>IF($J$5&gt;2,IF($U$2&lt;&gt;0,IF(O8*(1+$O$5)^2&lt;=$U$2,O8*L8*(1+$O$5)^2,$U$2*L8),O8*L8*(1+$O$5)^2),0)</f>
        <v>0</v>
      </c>
      <c r="E8" s="55">
        <f>IF($J$5&gt;3,IF($U$2&lt;&gt;0,IF(O8*(1+$O$5)^3&lt;=$U$2,O8*M8*(1+$O$5)^3,$U$2*M8),O8*M8*(1+$O$5)^3),0)</f>
        <v>0</v>
      </c>
      <c r="F8" s="55">
        <f>IF($J$5&gt;4,IF($U$2&lt;&gt;0,IF(O8*(1+$O$5)^4&lt;=$U$2,O8*N8*(1+$O$5)^4,$U$2*N8),O8*N8*(1+$O$5)^4),0)</f>
        <v>0</v>
      </c>
      <c r="G8" s="54">
        <f>SUM(B8:F8)</f>
        <v>0</v>
      </c>
      <c r="H8" s="14"/>
      <c r="I8" s="106" t="s">
        <v>26</v>
      </c>
      <c r="J8" s="17">
        <v>0</v>
      </c>
      <c r="K8" s="17">
        <f>IF($J$5&gt;1,J8,0)</f>
        <v>0</v>
      </c>
      <c r="L8" s="17">
        <f>IF($J$5&gt;2,K8,0)</f>
        <v>0</v>
      </c>
      <c r="M8" s="17">
        <f>IF($J$5&gt;3,L8,0)</f>
        <v>0</v>
      </c>
      <c r="N8" s="17">
        <f>IF($J$5&gt;4,M8,0)</f>
        <v>0</v>
      </c>
      <c r="O8" s="145">
        <f>IF(U11="F",IF($U$2&lt;&gt;0,IF(T11&gt;$U$2,$U$2,T11),T11),0)</f>
        <v>0</v>
      </c>
      <c r="P8" s="154">
        <f>SUM(J7:N7)/(ROUNDUP($J$5,0)*12)</f>
        <v>0</v>
      </c>
      <c r="Q8" s="155">
        <f>(SUM(J7:N7)/(CEILING($J$5*12,12)))*12</f>
        <v>0</v>
      </c>
      <c r="R8" s="1"/>
      <c r="S8" s="1"/>
      <c r="T8" s="90"/>
      <c r="U8" s="92"/>
      <c r="V8" s="92"/>
    </row>
    <row r="9" spans="1:23" outlineLevel="1" x14ac:dyDescent="0.25">
      <c r="A9" s="481" t="str">
        <f>ROUND(P8*100,2)&amp;"% Annualized Effort, "&amp;ROUND(Q9,2)&amp;" Avg. Academic Months
"&amp;IF(SUM(J10:N10)&gt;0," and "&amp;Q10 &amp;" Avg. Summer Months", "")</f>
        <v xml:space="preserve">0% Annualized Effort, 0 Avg. Academic Months
</v>
      </c>
      <c r="B9" s="55">
        <f>J9*O9</f>
        <v>0</v>
      </c>
      <c r="C9" s="55">
        <f>IF($J$5&gt;1,IF($U$2&lt;&gt;0,IF(O9*(1+$O$5)&lt;=$U$2*0.75,O9*K9*(1+$O$5),$U$2*0.75*K9),O9*K9*(1+$O$5)),0)</f>
        <v>0</v>
      </c>
      <c r="D9" s="55">
        <f>IF($J$5&gt;2,IF($U$2&lt;&gt;0,IF(O9*(1+$O$5)^2&lt;=$U$2*0.75,O9*L9*(1+$O$5)^2,$U$2*0.75*L9),O9*L9*(1+$O$5)^2),0)</f>
        <v>0</v>
      </c>
      <c r="E9" s="55">
        <f>IF($J$5&gt;3,IF($U$2&lt;&gt;0,IF(O9*(1+$O$5)^3&lt;=$U$2*0.75,O9*M9*(1+$O$5)^3,$U$2*0.75*M9),O9*M9*(1+$O$5)^3),0)</f>
        <v>0</v>
      </c>
      <c r="F9" s="55">
        <f>IF($J$5&gt;4,IF($U$2&lt;&gt;0,IF(O9*(1+$O$5)^4&lt;=$U$2*0.75,O9*N9*(1+$O$5)^4,$U$2*0.75*N9),O9*N9*(1+$O$5)^4),0)</f>
        <v>0</v>
      </c>
      <c r="G9" s="54">
        <f>SUM(B9:F9)</f>
        <v>0</v>
      </c>
      <c r="H9" s="14"/>
      <c r="I9" s="106" t="s">
        <v>15</v>
      </c>
      <c r="J9" s="17">
        <v>0</v>
      </c>
      <c r="K9" s="17">
        <f>IF($J$5&gt;1,J9,0)</f>
        <v>0</v>
      </c>
      <c r="L9" s="17">
        <f>IF($J$5&gt;2,K9,0)</f>
        <v>0</v>
      </c>
      <c r="M9" s="17">
        <f>IF($J$5&gt;3,L9,0)</f>
        <v>0</v>
      </c>
      <c r="N9" s="17">
        <f>IF($J$5&gt;4,M9,0)</f>
        <v>0</v>
      </c>
      <c r="O9" s="145">
        <f>IF(U11="A",IF($U$2&lt;&gt;0,IF(T11&gt;($U$2/12*9),($U$2/12*9),T11),T11),0)</f>
        <v>0</v>
      </c>
      <c r="P9" s="166"/>
      <c r="Q9" s="156">
        <f>((SUM(J7:N7)-SUM(J10:N10))/(CEILING($J$5*9,9)))*9</f>
        <v>0</v>
      </c>
      <c r="R9" s="12"/>
      <c r="S9" s="12"/>
      <c r="T9" s="90"/>
      <c r="U9" s="92"/>
      <c r="V9" s="92"/>
    </row>
    <row r="10" spans="1:23" outlineLevel="1" x14ac:dyDescent="0.25">
      <c r="A10" s="481"/>
      <c r="B10" s="55">
        <f>J10/3*O10</f>
        <v>0</v>
      </c>
      <c r="C10" s="55">
        <f>IF($J$5&gt;1,IF($U$2&lt;&gt;0,IF(O10*(1+$O$5)&lt;=$U$2*0.25,O10*K10/3*(1+$O$5),$U$2*0.25*K10/3),O10*K10/3*(1+$O$5)),0)</f>
        <v>0</v>
      </c>
      <c r="D10" s="55">
        <f>IF($J$5&gt;2,IF($U$2&lt;&gt;0,IF(O10*(1+$O$5)^2&lt;=$U$2*0.25,O10*L10/3*(1+$O$5)^2,$U$2*0.25*L10/3),O10*L10/3*(1+$O$5)^2),0)</f>
        <v>0</v>
      </c>
      <c r="E10" s="55">
        <f>IF($J$5&gt;3,IF($U$2&lt;&gt;0,IF(O10*(1+$O$5)^3&lt;=$U$2*0.25,O10*M10/3*(1+$O$5)^3,$U$2*0.25*M10/3),O10*M10/3*(1+$O$5)^3),0)</f>
        <v>0</v>
      </c>
      <c r="F10" s="55">
        <f>IF($J$5&gt;4,IF($U$2&lt;&gt;0,IF(O10*(1+$O$5)^4&lt;=$U$2*0.25,O10*N10/3*(1+$O$5)^4,$U$2*0.25*N10/3),O10*N10/3*(1+$O$5)^4),0)</f>
        <v>0</v>
      </c>
      <c r="G10" s="54">
        <f>SUM(B10:F10)</f>
        <v>0</v>
      </c>
      <c r="H10" s="14"/>
      <c r="I10" s="106" t="s">
        <v>17</v>
      </c>
      <c r="J10" s="16">
        <v>0</v>
      </c>
      <c r="K10" s="16">
        <f>IF($J$5&gt;1,J10,0)</f>
        <v>0</v>
      </c>
      <c r="L10" s="16">
        <f>IF($J$5&gt;2,K10,0)</f>
        <v>0</v>
      </c>
      <c r="M10" s="16">
        <f>IF($J$5&gt;3,L10,0)</f>
        <v>0</v>
      </c>
      <c r="N10" s="16">
        <f>IF($J$5&gt;4,M10,0)</f>
        <v>0</v>
      </c>
      <c r="O10" s="145">
        <f>IF(U11="A",IF($U$2&lt;&gt;0,IF(T11/9*3&gt;($U$2/12*3),($U$2/12*3),T11/9*3),T11/9*3),0)</f>
        <v>0</v>
      </c>
      <c r="P10" s="157"/>
      <c r="Q10" s="157">
        <f>((SUM(J7:N7)-SUM(J9:N9)*9)/(CEILING($J$5*3,3)))*3</f>
        <v>0</v>
      </c>
      <c r="R10" s="12"/>
      <c r="S10" s="12"/>
      <c r="T10" s="1"/>
      <c r="U10" s="92"/>
      <c r="V10" s="92"/>
    </row>
    <row r="11" spans="1:23" outlineLevel="1" x14ac:dyDescent="0.25">
      <c r="A11" s="19"/>
      <c r="B11" s="55"/>
      <c r="C11" s="55"/>
      <c r="D11" s="56"/>
      <c r="E11" s="56"/>
      <c r="F11" s="56"/>
      <c r="G11" s="57"/>
      <c r="H11" s="20"/>
      <c r="I11" s="106" t="s">
        <v>109</v>
      </c>
      <c r="J11" s="147">
        <f>SUM(B8:B10)*$V11</f>
        <v>0</v>
      </c>
      <c r="K11" s="147">
        <f>SUM(C8:C10)*$V11</f>
        <v>0</v>
      </c>
      <c r="L11" s="147">
        <f>SUM(D8:D10)*$V11</f>
        <v>0</v>
      </c>
      <c r="M11" s="147">
        <f>SUM(E8:E10)*$V11</f>
        <v>0</v>
      </c>
      <c r="N11" s="147">
        <f>SUM(F8:F10)*$V11</f>
        <v>0</v>
      </c>
      <c r="O11" s="146"/>
      <c r="P11" s="157"/>
      <c r="Q11" s="157"/>
      <c r="R11" s="12"/>
      <c r="S11" s="12"/>
      <c r="T11" s="143">
        <v>0</v>
      </c>
      <c r="U11" s="144"/>
      <c r="V11" s="148">
        <f>$J$79</f>
        <v>0</v>
      </c>
    </row>
    <row r="12" spans="1:23" outlineLevel="1" x14ac:dyDescent="0.25">
      <c r="A12" s="19"/>
      <c r="B12" s="55"/>
      <c r="C12" s="55"/>
      <c r="D12" s="56"/>
      <c r="E12" s="56"/>
      <c r="F12" s="56"/>
      <c r="G12" s="57"/>
      <c r="H12" s="20"/>
      <c r="I12" s="124"/>
      <c r="J12" s="91"/>
      <c r="K12" s="91"/>
      <c r="L12" s="91"/>
      <c r="M12" s="91"/>
      <c r="N12" s="91"/>
      <c r="O12" s="22"/>
      <c r="P12" s="157"/>
      <c r="Q12" s="157"/>
      <c r="R12" s="12"/>
      <c r="S12" s="12"/>
      <c r="T12" s="90"/>
      <c r="U12" s="92"/>
      <c r="V12" s="92"/>
    </row>
    <row r="13" spans="1:23" outlineLevel="1" x14ac:dyDescent="0.25">
      <c r="A13" s="23" t="s">
        <v>84</v>
      </c>
      <c r="B13" s="55"/>
      <c r="C13" s="56"/>
      <c r="D13" s="56"/>
      <c r="E13" s="56"/>
      <c r="F13" s="56"/>
      <c r="G13" s="54"/>
      <c r="I13" s="106" t="s">
        <v>128</v>
      </c>
      <c r="J13" s="5">
        <f>IF(U17="F",J14*12,SUM(J15*9,J16))</f>
        <v>0</v>
      </c>
      <c r="K13" s="5">
        <f>IF(U17="F",K14*12,SUM(K15*9,K16))</f>
        <v>0</v>
      </c>
      <c r="L13" s="5">
        <f>IF(U17="F",L14*12,SUM(L15*9,L16))</f>
        <v>0</v>
      </c>
      <c r="M13" s="5">
        <f>IF(U17="F",M14*12,SUM(M15*9,M16))</f>
        <v>0</v>
      </c>
      <c r="N13" s="5">
        <f>IF(U17="F",N14*12,SUM(N15*9,N16))</f>
        <v>0</v>
      </c>
      <c r="O13" s="49" t="s">
        <v>51</v>
      </c>
      <c r="P13" s="153" t="s">
        <v>126</v>
      </c>
      <c r="Q13" s="153" t="s">
        <v>127</v>
      </c>
      <c r="R13" s="11"/>
      <c r="S13" s="12"/>
      <c r="T13" s="90"/>
      <c r="U13" s="92"/>
      <c r="V13" s="92"/>
    </row>
    <row r="14" spans="1:23" ht="15.75" customHeight="1" outlineLevel="1" x14ac:dyDescent="0.25">
      <c r="A14" s="13" t="str">
        <f>ROUND(P14*100, 2)&amp;"% Avg. Fiscal Effort, "&amp;ROUND(Q14, 2)&amp;" Avg. Calendar Months"</f>
        <v>0% Avg. Fiscal Effort, 0 Avg. Calendar Months</v>
      </c>
      <c r="B14" s="55">
        <f>O14*J14</f>
        <v>0</v>
      </c>
      <c r="C14" s="55">
        <f>IF($J$5&gt;1,IF($U$2&lt;&gt;0,IF(O14*(1+$O$5)&lt;=$U$2,O14*K14*(1+$O$5),$U$2*K14),O14*K14*(1+$O$5)),0)</f>
        <v>0</v>
      </c>
      <c r="D14" s="55">
        <f>IF($J$5&gt;2,IF($U$2&lt;&gt;0,IF(O14*(1+$O$5)^2&lt;=$U$2,O14*L14*(1+$O$5)^2,$U$2*L14),O14*L14*(1+$O$5)^2),0)</f>
        <v>0</v>
      </c>
      <c r="E14" s="55">
        <f>IF($J$5&gt;3,IF($U$2&lt;&gt;0,IF(O14*(1+$O$5)^3&lt;=$U$2,O14*M14*(1+$O$5)^3,$U$2*M14),O14*M14*(1+$O$5)^3),0)</f>
        <v>0</v>
      </c>
      <c r="F14" s="55">
        <f>IF($J$5&gt;4,IF($U$2&lt;&gt;0,IF(O14*(1+$O$5)^4&lt;=$U$2,O14*N14*(1+$O$5)^4,$U$2*N14),O14*N14*(1+$O$5)^4),0)</f>
        <v>0</v>
      </c>
      <c r="G14" s="54">
        <f>SUM(B14:F14)</f>
        <v>0</v>
      </c>
      <c r="H14" s="14"/>
      <c r="I14" s="106" t="s">
        <v>26</v>
      </c>
      <c r="J14" s="17">
        <v>0</v>
      </c>
      <c r="K14" s="17">
        <f>IF($J$5&gt;1,J14,0)</f>
        <v>0</v>
      </c>
      <c r="L14" s="17">
        <f>IF($J$5&gt;2,K14,0)</f>
        <v>0</v>
      </c>
      <c r="M14" s="17">
        <f>IF($J$5&gt;3,L14,0)</f>
        <v>0</v>
      </c>
      <c r="N14" s="17">
        <f>IF($J$5&gt;4,M14,0)</f>
        <v>0</v>
      </c>
      <c r="O14" s="145">
        <f>IF(U17="F",IF($U$2&lt;&gt;0,IF(T17&gt;$U$2,$U$2,T17),T17),0)</f>
        <v>0</v>
      </c>
      <c r="P14" s="154">
        <f>SUM(J13:N13)/(ROUNDUP($J$5,0)*12)</f>
        <v>0</v>
      </c>
      <c r="Q14" s="155">
        <f>(SUM(J13:N13)/(CEILING($J$5*12,12)))*12</f>
        <v>0</v>
      </c>
      <c r="R14" s="1"/>
      <c r="S14" s="1"/>
      <c r="T14" s="90"/>
      <c r="U14" s="92"/>
      <c r="V14" s="92"/>
    </row>
    <row r="15" spans="1:23" outlineLevel="1" x14ac:dyDescent="0.25">
      <c r="A15" s="481" t="str">
        <f>ROUND(P14*100,2)&amp;"% Annualized Effort, "&amp;ROUND(Q15,2)&amp;" Avg. Academic Months
"&amp;IF(SUM(J16:N16)&gt;0," and "&amp;Q16 &amp;" Avg. Summer Months", "")</f>
        <v xml:space="preserve">0% Annualized Effort, 0 Avg. Academic Months
</v>
      </c>
      <c r="B15" s="55">
        <f>J15*O15</f>
        <v>0</v>
      </c>
      <c r="C15" s="55">
        <f>IF($J$5&gt;1,IF($U$2&lt;&gt;0,IF(O15*(1+$O$5)&lt;=$U$2*0.75,O15*K15*(1+$O$5),$U$2*0.75*K15),O15*K15*(1+$O$5)),0)</f>
        <v>0</v>
      </c>
      <c r="D15" s="55">
        <f>IF($J$5&gt;2,IF($U$2&lt;&gt;0,IF(O15*(1+$O$5)^2&lt;=$U$2*0.75,O15*L15*(1+$O$5)^2,$U$2*0.75*L15),O15*L15*(1+$O$5)^2),0)</f>
        <v>0</v>
      </c>
      <c r="E15" s="55">
        <f>IF($J$5&gt;3,IF($U$2&lt;&gt;0,IF(O15*(1+$O$5)^3&lt;=$U$2*0.75,O15*M15*(1+$O$5)^3,$U$2*0.75*M15),O15*M15*(1+$O$5)^3),0)</f>
        <v>0</v>
      </c>
      <c r="F15" s="55">
        <f>IF($J$5&gt;4,IF($U$2&lt;&gt;0,IF(O15*(1+$O$5)^4&lt;=$U$2*0.75,O15*N15*(1+$O$5)^4,$U$2*0.75*N15),O15*N15*(1+$O$5)^4),0)</f>
        <v>0</v>
      </c>
      <c r="G15" s="54">
        <f>SUM(B15:F15)</f>
        <v>0</v>
      </c>
      <c r="H15" s="14"/>
      <c r="I15" s="106" t="s">
        <v>15</v>
      </c>
      <c r="J15" s="17">
        <v>0</v>
      </c>
      <c r="K15" s="17">
        <f>IF($J$5&gt;1,J15,0)</f>
        <v>0</v>
      </c>
      <c r="L15" s="17">
        <f>IF($J$5&gt;2,K15,0)</f>
        <v>0</v>
      </c>
      <c r="M15" s="17">
        <f>IF($J$5&gt;3,L15,0)</f>
        <v>0</v>
      </c>
      <c r="N15" s="17">
        <f>IF($J$5&gt;4,M15,0)</f>
        <v>0</v>
      </c>
      <c r="O15" s="145">
        <f>IF(U17="A",IF($U$2&lt;&gt;0,IF(T17&gt;($U$2/12*9),($U$2/12*9),T17),T17),0)</f>
        <v>0</v>
      </c>
      <c r="P15" s="166"/>
      <c r="Q15" s="156">
        <f>((SUM(J13:N13)-SUM(J16:N16))/(CEILING($J$5*9,9)))*9</f>
        <v>0</v>
      </c>
      <c r="R15" s="12"/>
      <c r="S15" s="12"/>
      <c r="T15" s="90"/>
      <c r="U15" s="92"/>
      <c r="V15" s="92"/>
    </row>
    <row r="16" spans="1:23" outlineLevel="1" x14ac:dyDescent="0.25">
      <c r="A16" s="481"/>
      <c r="B16" s="55">
        <f>J16/3*O16</f>
        <v>0</v>
      </c>
      <c r="C16" s="55">
        <f>IF($J$5&gt;1,IF($U$2&lt;&gt;0,IF(O16*(1+$O$5)&lt;=$U$2*0.25,O16*K16/3*(1+$O$5),$U$2*0.25*K16/3),O16*K16/3*(1+$O$5)),0)</f>
        <v>0</v>
      </c>
      <c r="D16" s="55">
        <f>IF($J$5&gt;2,IF($U$2&lt;&gt;0,IF(O16*(1+$O$5)^2&lt;=$U$2*0.25,O16*L16/3*(1+$O$5)^2,$U$2*0.25*L16/3),O16*L16/3*(1+$O$5)^2),0)</f>
        <v>0</v>
      </c>
      <c r="E16" s="55">
        <f>IF($J$5&gt;3,IF($U$2&lt;&gt;0,IF(O16*(1+$O$5)^3&lt;=$U$2*0.25,O16*M16/3*(1+$O$5)^3,$U$2*0.25*M16/3),O16*M16/3*(1+$O$5)^3),0)</f>
        <v>0</v>
      </c>
      <c r="F16" s="55">
        <f>IF($J$5&gt;4,IF($U$2&lt;&gt;0,IF(O16*(1+$O$5)^4&lt;=$U$2*0.25,O16*N16/3*(1+$O$5)^4,$U$2*0.25*N16/3),O16*N16/3*(1+$O$5)^4),0)</f>
        <v>0</v>
      </c>
      <c r="G16" s="54">
        <f>SUM(B16:F16)</f>
        <v>0</v>
      </c>
      <c r="H16" s="14"/>
      <c r="I16" s="106" t="s">
        <v>17</v>
      </c>
      <c r="J16" s="16">
        <v>0</v>
      </c>
      <c r="K16" s="16">
        <f>IF($J$5&gt;1,J16,0)</f>
        <v>0</v>
      </c>
      <c r="L16" s="16">
        <f>IF($J$5&gt;2,K16,0)</f>
        <v>0</v>
      </c>
      <c r="M16" s="16">
        <f>IF($J$5&gt;3,L16,0)</f>
        <v>0</v>
      </c>
      <c r="N16" s="16">
        <f>IF($J$5&gt;4,M16,0)</f>
        <v>0</v>
      </c>
      <c r="O16" s="145">
        <f>IF(U17="A",IF($U$2&lt;&gt;0,IF(T17/9*3&gt;($U$2/12*3),($U$2/12*3),T17/9*3),T17/9*3),0)</f>
        <v>0</v>
      </c>
      <c r="P16" s="157"/>
      <c r="Q16" s="157">
        <f>((SUM(J13:N13)-SUM(J15:N15)*9)/(CEILING($J$5*3,3)))*3</f>
        <v>0</v>
      </c>
      <c r="R16" s="12"/>
      <c r="S16" s="12"/>
      <c r="T16" s="1"/>
      <c r="U16" s="92"/>
      <c r="V16" s="92"/>
    </row>
    <row r="17" spans="1:22" outlineLevel="1" x14ac:dyDescent="0.25">
      <c r="A17" s="19"/>
      <c r="B17" s="55"/>
      <c r="C17" s="55"/>
      <c r="D17" s="56"/>
      <c r="E17" s="56"/>
      <c r="F17" s="56"/>
      <c r="G17" s="57"/>
      <c r="H17" s="20"/>
      <c r="I17" s="106" t="s">
        <v>109</v>
      </c>
      <c r="J17" s="147">
        <f>SUM(B14:B16)*$V17</f>
        <v>0</v>
      </c>
      <c r="K17" s="147">
        <f>SUM(C14:C16)*$V17</f>
        <v>0</v>
      </c>
      <c r="L17" s="147">
        <f>SUM(D14:D16)*$V17</f>
        <v>0</v>
      </c>
      <c r="M17" s="147">
        <f>SUM(E14:E16)*$V17</f>
        <v>0</v>
      </c>
      <c r="N17" s="147">
        <f>SUM(F14:F16)*$V17</f>
        <v>0</v>
      </c>
      <c r="O17" s="146"/>
      <c r="P17" s="157"/>
      <c r="Q17" s="157"/>
      <c r="R17" s="12"/>
      <c r="S17" s="12"/>
      <c r="T17" s="143">
        <v>0</v>
      </c>
      <c r="U17" s="144"/>
      <c r="V17" s="148">
        <f>$J$79</f>
        <v>0</v>
      </c>
    </row>
    <row r="18" spans="1:22" outlineLevel="1" x14ac:dyDescent="0.25">
      <c r="A18" s="19"/>
      <c r="B18" s="55"/>
      <c r="C18" s="55"/>
      <c r="D18" s="56"/>
      <c r="E18" s="56"/>
      <c r="F18" s="56"/>
      <c r="G18" s="57"/>
      <c r="H18" s="20"/>
      <c r="I18" s="124"/>
      <c r="J18" s="91"/>
      <c r="K18" s="91"/>
      <c r="L18" s="91"/>
      <c r="M18" s="91"/>
      <c r="N18" s="91"/>
      <c r="O18" s="22"/>
      <c r="P18" s="157"/>
      <c r="Q18" s="157"/>
      <c r="R18" s="12"/>
      <c r="S18" s="12"/>
      <c r="T18" s="90"/>
      <c r="U18" s="92"/>
      <c r="V18" s="92"/>
    </row>
    <row r="19" spans="1:22" outlineLevel="1" x14ac:dyDescent="0.25">
      <c r="A19" s="23" t="s">
        <v>84</v>
      </c>
      <c r="B19" s="55"/>
      <c r="C19" s="56"/>
      <c r="D19" s="56"/>
      <c r="E19" s="56"/>
      <c r="F19" s="56"/>
      <c r="G19" s="54"/>
      <c r="I19" s="106" t="s">
        <v>128</v>
      </c>
      <c r="J19" s="5">
        <f>IF(U23="F",J20*12,SUM(J21*9,J22))</f>
        <v>0</v>
      </c>
      <c r="K19" s="5">
        <f>IF(U23="F",K20*12,SUM(K21*9,K22))</f>
        <v>0</v>
      </c>
      <c r="L19" s="5">
        <f>IF(U23="F",L20*12,SUM(L21*9,L22))</f>
        <v>0</v>
      </c>
      <c r="M19" s="5">
        <f>IF(U23="F",M20*12,SUM(M21*9,M22))</f>
        <v>0</v>
      </c>
      <c r="N19" s="5">
        <f>IF(U23="F",N20*12,SUM(N21*9,N22))</f>
        <v>0</v>
      </c>
      <c r="O19" s="49" t="s">
        <v>51</v>
      </c>
      <c r="P19" s="153" t="s">
        <v>126</v>
      </c>
      <c r="Q19" s="153" t="s">
        <v>127</v>
      </c>
      <c r="R19" s="11"/>
      <c r="S19" s="12"/>
      <c r="T19" s="90"/>
      <c r="U19" s="92"/>
      <c r="V19" s="92"/>
    </row>
    <row r="20" spans="1:22" outlineLevel="1" x14ac:dyDescent="0.25">
      <c r="A20" s="13" t="str">
        <f>ROUND(P20*100, 2)&amp;"% Avg. Fiscal Effort, "&amp;ROUND(Q20, 2)&amp;" Avg. Calendar Months"</f>
        <v>0% Avg. Fiscal Effort, 0 Avg. Calendar Months</v>
      </c>
      <c r="B20" s="55">
        <f>O20*J20</f>
        <v>0</v>
      </c>
      <c r="C20" s="55">
        <f>IF($J$5&gt;1,IF($U$2&lt;&gt;0,IF(O20*(1+$O$5)&lt;=$U$2,O20*K20*(1+$O$5),$U$2*K20),O20*K20*(1+$O$5)),0)</f>
        <v>0</v>
      </c>
      <c r="D20" s="55">
        <f>IF($J$5&gt;2,IF($U$2&lt;&gt;0,IF(O20*(1+$O$5)^2&lt;=$U$2,O20*L20*(1+$O$5)^2,$U$2*L20),O20*L20*(1+$O$5)^2),0)</f>
        <v>0</v>
      </c>
      <c r="E20" s="55">
        <f>IF($J$5&gt;3,IF($U$2&lt;&gt;0,IF(O20*(1+$O$5)^3&lt;=$U$2,O20*M20*(1+$O$5)^3,$U$2*M20),O20*M20*(1+$O$5)^3),0)</f>
        <v>0</v>
      </c>
      <c r="F20" s="55">
        <f>IF($J$5&gt;4,IF($U$2&lt;&gt;0,IF(O20*(1+$O$5)^4&lt;=$U$2,O20*N20*(1+$O$5)^4,$U$2*N20),O20*N20*(1+$O$5)^4),0)</f>
        <v>0</v>
      </c>
      <c r="G20" s="54">
        <f>SUM(B20:F20)</f>
        <v>0</v>
      </c>
      <c r="H20" s="14"/>
      <c r="I20" s="106" t="s">
        <v>26</v>
      </c>
      <c r="J20" s="17">
        <v>0</v>
      </c>
      <c r="K20" s="17">
        <f>IF($J$5&gt;1,J20,0)</f>
        <v>0</v>
      </c>
      <c r="L20" s="17">
        <f>IF($J$5&gt;2,K20,0)</f>
        <v>0</v>
      </c>
      <c r="M20" s="17">
        <f>IF($J$5&gt;3,L20,0)</f>
        <v>0</v>
      </c>
      <c r="N20" s="17">
        <f>IF($J$5&gt;4,M20,0)</f>
        <v>0</v>
      </c>
      <c r="O20" s="145">
        <f>IF(U23="F",IF($U$2&lt;&gt;0,IF(T23&gt;$U$2,$U$2,T23),T23),0)</f>
        <v>0</v>
      </c>
      <c r="P20" s="154">
        <f>SUM(J19:N19)/(ROUNDUP($J$5,0)*12)</f>
        <v>0</v>
      </c>
      <c r="Q20" s="155">
        <f>(SUM(J19:N19)/(CEILING($J$5*12,12)))*12</f>
        <v>0</v>
      </c>
      <c r="R20" s="1"/>
      <c r="S20" s="1"/>
      <c r="T20" s="90"/>
      <c r="U20" s="92"/>
      <c r="V20" s="92"/>
    </row>
    <row r="21" spans="1:22" outlineLevel="1" x14ac:dyDescent="0.25">
      <c r="A21" s="481" t="str">
        <f>ROUND(P20*100,2)&amp;"% Annualized Effort, "&amp;ROUND(Q21,2)&amp;" Avg. Academic Months
"&amp;IF(SUM(J22:N22)&gt;0," and "&amp;Q22 &amp;" Avg. Summer Months", "")</f>
        <v xml:space="preserve">0% Annualized Effort, 0 Avg. Academic Months
</v>
      </c>
      <c r="B21" s="55">
        <f>J21*O21</f>
        <v>0</v>
      </c>
      <c r="C21" s="55">
        <f>IF($J$5&gt;1,IF($U$2&lt;&gt;0,IF(O21*(1+$O$5)&lt;=$U$2*0.75,O21*K21*(1+$O$5),$U$2*0.75*K21),O21*K21*(1+$O$5)),0)</f>
        <v>0</v>
      </c>
      <c r="D21" s="55">
        <f>IF($J$5&gt;2,IF($U$2&lt;&gt;0,IF(O21*(1+$O$5)^2&lt;=$U$2*0.75,O21*L21*(1+$O$5)^2,$U$2*0.75*L21),O21*L21*(1+$O$5)^2),0)</f>
        <v>0</v>
      </c>
      <c r="E21" s="55">
        <f>IF($J$5&gt;3,IF($U$2&lt;&gt;0,IF(O21*(1+$O$5)^3&lt;=$U$2*0.75,O21*M21*(1+$O$5)^3,$U$2*0.75*M21),O21*M21*(1+$O$5)^3),0)</f>
        <v>0</v>
      </c>
      <c r="F21" s="55">
        <f>IF($J$5&gt;4,IF($U$2&lt;&gt;0,IF(O21*(1+$O$5)^4&lt;=$U$2*0.75,O21*N21*(1+$O$5)^4,$U$2*0.75*N21),O21*N21*(1+$O$5)^4),0)</f>
        <v>0</v>
      </c>
      <c r="G21" s="54">
        <f>SUM(B21:F21)</f>
        <v>0</v>
      </c>
      <c r="H21" s="14"/>
      <c r="I21" s="106" t="s">
        <v>15</v>
      </c>
      <c r="J21" s="17">
        <v>0</v>
      </c>
      <c r="K21" s="17">
        <f>IF($J$5&gt;1,J21,0)</f>
        <v>0</v>
      </c>
      <c r="L21" s="17">
        <f>IF($J$5&gt;2,K21,0)</f>
        <v>0</v>
      </c>
      <c r="M21" s="17">
        <f>IF($J$5&gt;3,L21,0)</f>
        <v>0</v>
      </c>
      <c r="N21" s="17">
        <f>IF($J$5&gt;4,M21,0)</f>
        <v>0</v>
      </c>
      <c r="O21" s="145">
        <f>IF(U23="A",IF($U$2&lt;&gt;0,IF(T23&gt;($U$2/12*9),($U$2/12*9),T23),T23),0)</f>
        <v>0</v>
      </c>
      <c r="P21" s="166"/>
      <c r="Q21" s="156">
        <f>((SUM(J19:N19)-SUM(J22:N22))/(CEILING($J$5*9,9)))*9</f>
        <v>0</v>
      </c>
      <c r="R21" s="12"/>
      <c r="S21" s="12"/>
      <c r="T21" s="90"/>
      <c r="U21" s="92"/>
      <c r="V21" s="92"/>
    </row>
    <row r="22" spans="1:22" outlineLevel="1" x14ac:dyDescent="0.25">
      <c r="A22" s="481"/>
      <c r="B22" s="55">
        <f>J22/3*O22</f>
        <v>0</v>
      </c>
      <c r="C22" s="55">
        <f>IF($J$5&gt;1,IF($U$2&lt;&gt;0,IF(O22*(1+$O$5)&lt;=$U$2*0.25,O22*K22/3*(1+$O$5),$U$2*0.25*K22/3),O22*K22/3*(1+$O$5)),0)</f>
        <v>0</v>
      </c>
      <c r="D22" s="55">
        <f>IF($J$5&gt;2,IF($U$2&lt;&gt;0,IF(O22*(1+$O$5)^2&lt;=$U$2*0.25,O22*L22/3*(1+$O$5)^2,$U$2*0.25*L22/3),O22*L22/3*(1+$O$5)^2),0)</f>
        <v>0</v>
      </c>
      <c r="E22" s="55">
        <f>IF($J$5&gt;3,IF($U$2&lt;&gt;0,IF(O22*(1+$O$5)^3&lt;=$U$2*0.25,O22*M22/3*(1+$O$5)^3,$U$2*0.25*M22/3),O22*M22/3*(1+$O$5)^3),0)</f>
        <v>0</v>
      </c>
      <c r="F22" s="55">
        <f>IF($J$5&gt;4,IF($U$2&lt;&gt;0,IF(O22*(1+$O$5)^4&lt;=$U$2*0.25,O22*N22/3*(1+$O$5)^4,$U$2*0.25*N22/3),O22*N22/3*(1+$O$5)^4),0)</f>
        <v>0</v>
      </c>
      <c r="G22" s="54">
        <f>SUM(B22:F22)</f>
        <v>0</v>
      </c>
      <c r="H22" s="14"/>
      <c r="I22" s="106" t="s">
        <v>17</v>
      </c>
      <c r="J22" s="16">
        <v>0</v>
      </c>
      <c r="K22" s="16">
        <f>IF($J$5&gt;1,J22,0)</f>
        <v>0</v>
      </c>
      <c r="L22" s="16">
        <f>IF($J$5&gt;2,K22,0)</f>
        <v>0</v>
      </c>
      <c r="M22" s="16">
        <f>IF($J$5&gt;3,L22,0)</f>
        <v>0</v>
      </c>
      <c r="N22" s="16">
        <f>IF($J$5&gt;4,M22,0)</f>
        <v>0</v>
      </c>
      <c r="O22" s="145">
        <f>IF(U23="A",IF($U$2&lt;&gt;0,IF(T23/9*3&gt;($U$2/12*3),($U$2/12*3),T23/9*3),T23/9*3),0)</f>
        <v>0</v>
      </c>
      <c r="P22" s="157"/>
      <c r="Q22" s="157">
        <f>((SUM(J19:N19)-SUM(J21:N21)*9)/(CEILING($J$5*3,3)))*3</f>
        <v>0</v>
      </c>
      <c r="R22" s="12"/>
      <c r="S22" s="12"/>
      <c r="T22" s="1"/>
      <c r="U22" s="92"/>
      <c r="V22" s="92"/>
    </row>
    <row r="23" spans="1:22" outlineLevel="1" x14ac:dyDescent="0.25">
      <c r="A23" s="19"/>
      <c r="B23" s="55"/>
      <c r="C23" s="55"/>
      <c r="D23" s="56"/>
      <c r="E23" s="56"/>
      <c r="F23" s="56"/>
      <c r="G23" s="57"/>
      <c r="H23" s="20"/>
      <c r="I23" s="106" t="s">
        <v>109</v>
      </c>
      <c r="J23" s="147">
        <f>SUM(B20:B22)*$V23</f>
        <v>0</v>
      </c>
      <c r="K23" s="147">
        <f>SUM(C20:C22)*$V23</f>
        <v>0</v>
      </c>
      <c r="L23" s="147">
        <f>SUM(D20:D22)*$V23</f>
        <v>0</v>
      </c>
      <c r="M23" s="147">
        <f>SUM(E20:E22)*$V23</f>
        <v>0</v>
      </c>
      <c r="N23" s="147">
        <f>SUM(F20:F22)*$V23</f>
        <v>0</v>
      </c>
      <c r="O23" s="146"/>
      <c r="P23" s="157"/>
      <c r="Q23" s="157"/>
      <c r="R23" s="12"/>
      <c r="S23" s="12"/>
      <c r="T23" s="143">
        <v>0</v>
      </c>
      <c r="U23" s="144"/>
      <c r="V23" s="148">
        <f>$J$79</f>
        <v>0</v>
      </c>
    </row>
    <row r="24" spans="1:22" outlineLevel="1" x14ac:dyDescent="0.25">
      <c r="A24" s="19"/>
      <c r="B24" s="55"/>
      <c r="C24" s="55"/>
      <c r="D24" s="56"/>
      <c r="E24" s="56"/>
      <c r="F24" s="56"/>
      <c r="G24" s="57"/>
      <c r="H24" s="20"/>
      <c r="I24" s="124"/>
      <c r="J24" s="91"/>
      <c r="K24" s="91"/>
      <c r="L24" s="91"/>
      <c r="M24" s="91"/>
      <c r="N24" s="91"/>
      <c r="O24" s="22"/>
      <c r="P24" s="157"/>
      <c r="Q24" s="157"/>
      <c r="R24" s="12"/>
      <c r="S24" s="12"/>
      <c r="T24" s="90"/>
      <c r="U24" s="92"/>
      <c r="V24" s="92"/>
    </row>
    <row r="25" spans="1:22" outlineLevel="1" x14ac:dyDescent="0.25">
      <c r="A25" s="23" t="s">
        <v>84</v>
      </c>
      <c r="B25" s="55"/>
      <c r="C25" s="56"/>
      <c r="D25" s="56"/>
      <c r="E25" s="56"/>
      <c r="F25" s="56"/>
      <c r="G25" s="54"/>
      <c r="I25" s="106" t="s">
        <v>128</v>
      </c>
      <c r="J25" s="5">
        <f>IF(U29="F",J26*12,SUM(J27*9,J28))</f>
        <v>0</v>
      </c>
      <c r="K25" s="5">
        <f>IF(U29="F",K26*12,SUM(K27*9,K28))</f>
        <v>0</v>
      </c>
      <c r="L25" s="5">
        <f>IF(U29="F",L26*12,SUM(L27*9,L28))</f>
        <v>0</v>
      </c>
      <c r="M25" s="5">
        <f>IF(U29="F",M26*12,SUM(M27*9,M28))</f>
        <v>0</v>
      </c>
      <c r="N25" s="5">
        <f>IF(U29="F",N26*12,SUM(N27*9,N28))</f>
        <v>0</v>
      </c>
      <c r="O25" s="49" t="s">
        <v>51</v>
      </c>
      <c r="P25" s="153" t="s">
        <v>126</v>
      </c>
      <c r="Q25" s="153" t="s">
        <v>127</v>
      </c>
      <c r="R25" s="11"/>
      <c r="S25" s="12"/>
      <c r="T25" s="90"/>
      <c r="U25" s="92"/>
      <c r="V25" s="92"/>
    </row>
    <row r="26" spans="1:22" outlineLevel="1" x14ac:dyDescent="0.25">
      <c r="A26" s="13" t="str">
        <f>ROUND(P26*100, 2)&amp;"% Avg. Fiscal Effort, "&amp;ROUND(Q26, 2)&amp;" Avg. Calendar Months"</f>
        <v>0% Avg. Fiscal Effort, 0 Avg. Calendar Months</v>
      </c>
      <c r="B26" s="55">
        <f>O26*J26</f>
        <v>0</v>
      </c>
      <c r="C26" s="55">
        <f>IF($J$5&gt;1,IF($U$2&lt;&gt;0,IF(O26*(1+$O$5)&lt;=$U$2,O26*K26*(1+$O$5),$U$2*K26),O26*K26*(1+$O$5)),0)</f>
        <v>0</v>
      </c>
      <c r="D26" s="55">
        <f>IF($J$5&gt;2,IF($U$2&lt;&gt;0,IF(O26*(1+$O$5)^2&lt;=$U$2,O26*L26*(1+$O$5)^2,$U$2*L26),O26*L26*(1+$O$5)^2),0)</f>
        <v>0</v>
      </c>
      <c r="E26" s="55">
        <f>IF($J$5&gt;3,IF($U$2&lt;&gt;0,IF(O26*(1+$O$5)^3&lt;=$U$2,O26*M26*(1+$O$5)^3,$U$2*M26),O26*M26*(1+$O$5)^3),0)</f>
        <v>0</v>
      </c>
      <c r="F26" s="55">
        <f>IF($J$5&gt;4,IF($U$2&lt;&gt;0,IF(O26*(1+$O$5)^4&lt;=$U$2,O26*N26*(1+$O$5)^4,$U$2*N26),O26*N26*(1+$O$5)^4),0)</f>
        <v>0</v>
      </c>
      <c r="G26" s="54">
        <f>SUM(B26:F26)</f>
        <v>0</v>
      </c>
      <c r="H26" s="14"/>
      <c r="I26" s="106" t="s">
        <v>26</v>
      </c>
      <c r="J26" s="17">
        <v>0</v>
      </c>
      <c r="K26" s="17">
        <f>IF($J$5&gt;1,J26,0)</f>
        <v>0</v>
      </c>
      <c r="L26" s="17">
        <f>IF($J$5&gt;2,K26,0)</f>
        <v>0</v>
      </c>
      <c r="M26" s="17">
        <f>IF($J$5&gt;3,L26,0)</f>
        <v>0</v>
      </c>
      <c r="N26" s="17">
        <f>IF($J$5&gt;4,M26,0)</f>
        <v>0</v>
      </c>
      <c r="O26" s="145">
        <f>IF(U29="F",IF($U$2&lt;&gt;0,IF(T29&gt;$U$2,$U$2,T29),T29),0)</f>
        <v>0</v>
      </c>
      <c r="P26" s="154">
        <f>SUM(J25:N25)/(ROUNDUP($J$5,0)*12)</f>
        <v>0</v>
      </c>
      <c r="Q26" s="155">
        <f>(SUM(J25:N25)/(CEILING($J$5*12,12)))*12</f>
        <v>0</v>
      </c>
      <c r="R26" s="1"/>
      <c r="S26" s="1"/>
      <c r="T26" s="90"/>
      <c r="U26" s="92"/>
      <c r="V26" s="92"/>
    </row>
    <row r="27" spans="1:22" outlineLevel="1" x14ac:dyDescent="0.25">
      <c r="A27" s="481" t="str">
        <f>ROUND(P26*100,2)&amp;"% Annualized Effort, "&amp;ROUND(Q27,2)&amp;" Avg. Academic Months
"&amp;IF(SUM(J28:N28)&gt;0," and "&amp;Q28 &amp;" Avg. Summer Months", "")</f>
        <v xml:space="preserve">0% Annualized Effort, 0 Avg. Academic Months
</v>
      </c>
      <c r="B27" s="55">
        <f>J27*O27</f>
        <v>0</v>
      </c>
      <c r="C27" s="55">
        <f>IF($J$5&gt;1,IF($U$2&lt;&gt;0,IF(O27*(1+$O$5)&lt;=$U$2*0.75,O27*K27*(1+$O$5),$U$2*0.75*K27),O27*K27*(1+$O$5)),0)</f>
        <v>0</v>
      </c>
      <c r="D27" s="55">
        <f>IF($J$5&gt;2,IF($U$2&lt;&gt;0,IF(O27*(1+$O$5)^2&lt;=$U$2*0.75,O27*L27*(1+$O$5)^2,$U$2*0.75*L27),O27*L27*(1+$O$5)^2),0)</f>
        <v>0</v>
      </c>
      <c r="E27" s="55">
        <f>IF($J$5&gt;3,IF($U$2&lt;&gt;0,IF(O27*(1+$O$5)^3&lt;=$U$2*0.75,O27*M27*(1+$O$5)^3,$U$2*0.75*M27),O27*M27*(1+$O$5)^3),0)</f>
        <v>0</v>
      </c>
      <c r="F27" s="55">
        <f>IF($J$5&gt;4,IF($U$2&lt;&gt;0,IF(O27*(1+$O$5)^4&lt;=$U$2*0.75,O27*N27*(1+$O$5)^4,$U$2*0.75*N27),O27*N27*(1+$O$5)^4),0)</f>
        <v>0</v>
      </c>
      <c r="G27" s="54">
        <f>SUM(B27:F27)</f>
        <v>0</v>
      </c>
      <c r="H27" s="14"/>
      <c r="I27" s="106" t="s">
        <v>15</v>
      </c>
      <c r="J27" s="17">
        <v>0</v>
      </c>
      <c r="K27" s="17">
        <f>IF($J$5&gt;1,J27,0)</f>
        <v>0</v>
      </c>
      <c r="L27" s="17">
        <f>IF($J$5&gt;2,K27,0)</f>
        <v>0</v>
      </c>
      <c r="M27" s="17">
        <f>IF($J$5&gt;3,L27,0)</f>
        <v>0</v>
      </c>
      <c r="N27" s="17">
        <f>IF($J$5&gt;4,M27,0)</f>
        <v>0</v>
      </c>
      <c r="O27" s="145">
        <f>IF(U29="A",IF($U$2&lt;&gt;0,IF(T29&gt;($U$2/12*9),($U$2/12*9),T29),T29),0)</f>
        <v>0</v>
      </c>
      <c r="P27" s="166"/>
      <c r="Q27" s="156">
        <f>((SUM(J25:N25)-SUM(J28:N28))/(CEILING($J$5*9,9)))*9</f>
        <v>0</v>
      </c>
      <c r="R27" s="12"/>
      <c r="S27" s="12"/>
      <c r="T27" s="90"/>
      <c r="U27" s="92"/>
      <c r="V27" s="92"/>
    </row>
    <row r="28" spans="1:22" outlineLevel="1" x14ac:dyDescent="0.25">
      <c r="A28" s="481"/>
      <c r="B28" s="55">
        <f>J28/3*O28</f>
        <v>0</v>
      </c>
      <c r="C28" s="55">
        <f>IF($J$5&gt;1,IF($U$2&lt;&gt;0,IF(O28*(1+$O$5)&lt;=$U$2*0.25,O28*K28/3*(1+$O$5),$U$2*0.25*K28/3),O28*K28/3*(1+$O$5)),0)</f>
        <v>0</v>
      </c>
      <c r="D28" s="55">
        <f>IF($J$5&gt;2,IF($U$2&lt;&gt;0,IF(O28*(1+$O$5)^2&lt;=$U$2*0.25,O28*L28/3*(1+$O$5)^2,$U$2*0.25*L28/3),O28*L28/3*(1+$O$5)^2),0)</f>
        <v>0</v>
      </c>
      <c r="E28" s="55">
        <f>IF($J$5&gt;3,IF($U$2&lt;&gt;0,IF(O28*(1+$O$5)^3&lt;=$U$2*0.25,O28*M28/3*(1+$O$5)^3,$U$2*0.25*M28/3),O28*M28/3*(1+$O$5)^3),0)</f>
        <v>0</v>
      </c>
      <c r="F28" s="55">
        <f>IF($J$5&gt;4,IF($U$2&lt;&gt;0,IF(O28*(1+$O$5)^4&lt;=$U$2*0.25,O28*N28/3*(1+$O$5)^4,$U$2*0.25*N28/3),O28*N28/3*(1+$O$5)^4),0)</f>
        <v>0</v>
      </c>
      <c r="G28" s="54">
        <f>SUM(B28:F28)</f>
        <v>0</v>
      </c>
      <c r="H28" s="14"/>
      <c r="I28" s="106" t="s">
        <v>17</v>
      </c>
      <c r="J28" s="16">
        <v>0</v>
      </c>
      <c r="K28" s="16">
        <f>IF($J$5&gt;1,J28,0)</f>
        <v>0</v>
      </c>
      <c r="L28" s="16">
        <f>IF($J$5&gt;2,K28,0)</f>
        <v>0</v>
      </c>
      <c r="M28" s="16">
        <f>IF($J$5&gt;3,L28,0)</f>
        <v>0</v>
      </c>
      <c r="N28" s="16">
        <f>IF($J$5&gt;4,M28,0)</f>
        <v>0</v>
      </c>
      <c r="O28" s="145">
        <f>IF(U29="A",IF($U$2&lt;&gt;0,IF(T29/9*3&gt;($U$2/12*3),($U$2/12*3),T29/9*3),T29/9*3),0)</f>
        <v>0</v>
      </c>
      <c r="P28" s="157"/>
      <c r="Q28" s="157">
        <f>((SUM(J25:N25)-SUM(J27:N27)*9)/(CEILING($J$5*3,3)))*3</f>
        <v>0</v>
      </c>
      <c r="R28" s="12"/>
      <c r="S28" s="12"/>
      <c r="T28" s="1"/>
      <c r="U28" s="92"/>
      <c r="V28" s="92"/>
    </row>
    <row r="29" spans="1:22" outlineLevel="1" x14ac:dyDescent="0.25">
      <c r="A29" s="19"/>
      <c r="B29" s="55"/>
      <c r="C29" s="55"/>
      <c r="D29" s="56"/>
      <c r="E29" s="56"/>
      <c r="F29" s="56"/>
      <c r="G29" s="57"/>
      <c r="H29" s="20"/>
      <c r="I29" s="106" t="s">
        <v>109</v>
      </c>
      <c r="J29" s="147">
        <f>SUM(B26:B28)*$V29</f>
        <v>0</v>
      </c>
      <c r="K29" s="147">
        <f>SUM(C26:C28)*$V29</f>
        <v>0</v>
      </c>
      <c r="L29" s="147">
        <f>SUM(D26:D28)*$V29</f>
        <v>0</v>
      </c>
      <c r="M29" s="147">
        <f>SUM(E26:E28)*$V29</f>
        <v>0</v>
      </c>
      <c r="N29" s="147">
        <f>SUM(F26:F28)*$V29</f>
        <v>0</v>
      </c>
      <c r="O29" s="146"/>
      <c r="P29" s="157"/>
      <c r="Q29" s="157"/>
      <c r="R29" s="12"/>
      <c r="S29" s="12"/>
      <c r="T29" s="143">
        <v>0</v>
      </c>
      <c r="U29" s="144"/>
      <c r="V29" s="148">
        <f>$J$79</f>
        <v>0</v>
      </c>
    </row>
    <row r="30" spans="1:22" outlineLevel="1" x14ac:dyDescent="0.25">
      <c r="A30" s="19"/>
      <c r="B30" s="55"/>
      <c r="C30" s="55"/>
      <c r="D30" s="56"/>
      <c r="E30" s="56"/>
      <c r="F30" s="56"/>
      <c r="G30" s="57"/>
      <c r="H30" s="20"/>
      <c r="I30" s="124"/>
      <c r="J30" s="91"/>
      <c r="K30" s="91"/>
      <c r="L30" s="91"/>
      <c r="M30" s="91"/>
      <c r="N30" s="91"/>
      <c r="O30" s="22"/>
      <c r="P30" s="157"/>
      <c r="Q30" s="157"/>
      <c r="R30" s="12"/>
      <c r="S30" s="12"/>
      <c r="T30" s="90"/>
      <c r="U30" s="92"/>
      <c r="V30" s="92"/>
    </row>
    <row r="31" spans="1:22" outlineLevel="1" x14ac:dyDescent="0.25">
      <c r="A31" s="23" t="s">
        <v>84</v>
      </c>
      <c r="B31" s="55"/>
      <c r="C31" s="56"/>
      <c r="D31" s="56"/>
      <c r="E31" s="56"/>
      <c r="F31" s="56"/>
      <c r="G31" s="54"/>
      <c r="I31" s="106" t="s">
        <v>128</v>
      </c>
      <c r="J31" s="5">
        <f>IF(U35="F",J32*12,SUM(J33*9,J34))</f>
        <v>0</v>
      </c>
      <c r="K31" s="5">
        <f>IF(U35="F",K32*12,SUM(K33*9,K34))</f>
        <v>0</v>
      </c>
      <c r="L31" s="5">
        <f>IF(U35="F",L32*12,SUM(L33*9,L34))</f>
        <v>0</v>
      </c>
      <c r="M31" s="5">
        <f>IF(U35="F",M32*12,SUM(M33*9,M34))</f>
        <v>0</v>
      </c>
      <c r="N31" s="5">
        <f>IF(U35="F",N32*12,SUM(N33*9,N34))</f>
        <v>0</v>
      </c>
      <c r="O31" s="49" t="s">
        <v>51</v>
      </c>
      <c r="P31" s="153" t="s">
        <v>126</v>
      </c>
      <c r="Q31" s="153" t="s">
        <v>127</v>
      </c>
      <c r="R31" s="11"/>
      <c r="S31" s="12"/>
      <c r="T31" s="90"/>
      <c r="U31" s="92"/>
      <c r="V31" s="92"/>
    </row>
    <row r="32" spans="1:22" outlineLevel="1" x14ac:dyDescent="0.25">
      <c r="A32" s="13" t="str">
        <f>ROUND(P32*100, 2)&amp;"% Avg. Fiscal Effort, "&amp;ROUND(Q32, 2)&amp;" Avg. Calendar Months"</f>
        <v>0% Avg. Fiscal Effort, 0 Avg. Calendar Months</v>
      </c>
      <c r="B32" s="55">
        <f>O32*J32</f>
        <v>0</v>
      </c>
      <c r="C32" s="55">
        <f>IF($J$5&gt;1,IF($U$2&lt;&gt;0,IF(O32*(1+$O$5)&lt;=$U$2,O32*K32*(1+$O$5),$U$2*K32),O32*K32*(1+$O$5)),0)</f>
        <v>0</v>
      </c>
      <c r="D32" s="55">
        <f>IF($J$5&gt;2,IF($U$2&lt;&gt;0,IF(O32*(1+$O$5)^2&lt;=$U$2,O32*L32*(1+$O$5)^2,$U$2*L32),O32*L32*(1+$O$5)^2),0)</f>
        <v>0</v>
      </c>
      <c r="E32" s="55">
        <f>IF($J$5&gt;3,IF($U$2&lt;&gt;0,IF(O32*(1+$O$5)^3&lt;=$U$2,O32*M32*(1+$O$5)^3,$U$2*M32),O32*M32*(1+$O$5)^3),0)</f>
        <v>0</v>
      </c>
      <c r="F32" s="55">
        <f>IF($J$5&gt;4,IF($U$2&lt;&gt;0,IF(O32*(1+$O$5)^4&lt;=$U$2,O32*N32*(1+$O$5)^4,$U$2*N32),O32*N32*(1+$O$5)^4),0)</f>
        <v>0</v>
      </c>
      <c r="G32" s="54">
        <f>SUM(B32:F32)</f>
        <v>0</v>
      </c>
      <c r="H32" s="14"/>
      <c r="I32" s="106" t="s">
        <v>26</v>
      </c>
      <c r="J32" s="17">
        <v>0</v>
      </c>
      <c r="K32" s="17">
        <f>IF($J$5&gt;1,J32,0)</f>
        <v>0</v>
      </c>
      <c r="L32" s="17">
        <f>IF($J$5&gt;2,K32,0)</f>
        <v>0</v>
      </c>
      <c r="M32" s="17">
        <f>IF($J$5&gt;3,L32,0)</f>
        <v>0</v>
      </c>
      <c r="N32" s="17">
        <f>IF($J$5&gt;4,M32,0)</f>
        <v>0</v>
      </c>
      <c r="O32" s="145">
        <f>IF(U35="F",IF($U$2&lt;&gt;0,IF(T35&gt;$U$2,$U$2,T35),T35),0)</f>
        <v>0</v>
      </c>
      <c r="P32" s="154">
        <f>SUM(J31:N31)/(ROUNDUP($J$5,0)*12)</f>
        <v>0</v>
      </c>
      <c r="Q32" s="155">
        <f>(SUM(J31:N31)/(CEILING($J$5*12,12)))*12</f>
        <v>0</v>
      </c>
      <c r="R32" s="1"/>
      <c r="S32" s="1"/>
      <c r="T32" s="90"/>
      <c r="U32" s="92"/>
      <c r="V32" s="92"/>
    </row>
    <row r="33" spans="1:22" outlineLevel="1" x14ac:dyDescent="0.25">
      <c r="A33" s="481" t="str">
        <f>ROUND(P32*100,2)&amp;"% Annualized Effort, "&amp;ROUND(Q33,2)&amp;" Avg. Academic Months
"&amp;IF(SUM(J34:N34)&gt;0," and "&amp;Q34 &amp;" Avg. Summer Months", "")</f>
        <v xml:space="preserve">0% Annualized Effort, 0 Avg. Academic Months
</v>
      </c>
      <c r="B33" s="55">
        <f>J33*O33</f>
        <v>0</v>
      </c>
      <c r="C33" s="55">
        <f>IF($J$5&gt;1,IF($U$2&lt;&gt;0,IF(O33*(1+$O$5)&lt;=$U$2*0.75,O33*K33*(1+$O$5),$U$2*0.75*K33),O33*K33*(1+$O$5)),0)</f>
        <v>0</v>
      </c>
      <c r="D33" s="55">
        <f>IF($J$5&gt;2,IF($U$2&lt;&gt;0,IF(O33*(1+$O$5)^2&lt;=$U$2*0.75,O33*L33*(1+$O$5)^2,$U$2*0.75*L33),O33*L33*(1+$O$5)^2),0)</f>
        <v>0</v>
      </c>
      <c r="E33" s="55">
        <f>IF($J$5&gt;3,IF($U$2&lt;&gt;0,IF(O33*(1+$O$5)^3&lt;=$U$2*0.75,O33*M33*(1+$O$5)^3,$U$2*0.75*M33),O33*M33*(1+$O$5)^3),0)</f>
        <v>0</v>
      </c>
      <c r="F33" s="55">
        <f>IF($J$5&gt;4,IF($U$2&lt;&gt;0,IF(O33*(1+$O$5)^4&lt;=$U$2*0.75,O33*N33*(1+$O$5)^4,$U$2*0.75*N33),O33*N33*(1+$O$5)^4),0)</f>
        <v>0</v>
      </c>
      <c r="G33" s="54">
        <f>SUM(B33:F33)</f>
        <v>0</v>
      </c>
      <c r="H33" s="14"/>
      <c r="I33" s="106" t="s">
        <v>15</v>
      </c>
      <c r="J33" s="17">
        <v>0</v>
      </c>
      <c r="K33" s="17">
        <f>IF($J$5&gt;1,J33,0)</f>
        <v>0</v>
      </c>
      <c r="L33" s="17">
        <f>IF($J$5&gt;2,K33,0)</f>
        <v>0</v>
      </c>
      <c r="M33" s="17">
        <f>IF($J$5&gt;3,L33,0)</f>
        <v>0</v>
      </c>
      <c r="N33" s="17">
        <f>IF($J$5&gt;4,M33,0)</f>
        <v>0</v>
      </c>
      <c r="O33" s="145">
        <f>IF(U35="A",IF($U$2&lt;&gt;0,IF(T35&gt;($U$2/12*9),($U$2/12*9),T35),T35),0)</f>
        <v>0</v>
      </c>
      <c r="P33" s="166"/>
      <c r="Q33" s="156">
        <f>((SUM(J31:N31)-SUM(J34:N34))/(CEILING($J$5*9,9)))*9</f>
        <v>0</v>
      </c>
      <c r="R33" s="12"/>
      <c r="S33" s="12"/>
      <c r="T33" s="90"/>
      <c r="U33" s="92"/>
      <c r="V33" s="92"/>
    </row>
    <row r="34" spans="1:22" outlineLevel="1" x14ac:dyDescent="0.25">
      <c r="A34" s="481"/>
      <c r="B34" s="55">
        <f>J34/3*O34</f>
        <v>0</v>
      </c>
      <c r="C34" s="55">
        <f>IF($J$5&gt;1,IF($U$2&lt;&gt;0,IF(O34*(1+$O$5)&lt;=$U$2*0.25,O34*K34/3*(1+$O$5),$U$2*0.25*K34/3),O34*K34/3*(1+$O$5)),0)</f>
        <v>0</v>
      </c>
      <c r="D34" s="55">
        <f>IF($J$5&gt;2,IF($U$2&lt;&gt;0,IF(O34*(1+$O$5)^2&lt;=$U$2*0.25,O34*L34/3*(1+$O$5)^2,$U$2*0.25*L34/3),O34*L34/3*(1+$O$5)^2),0)</f>
        <v>0</v>
      </c>
      <c r="E34" s="55">
        <f>IF($J$5&gt;3,IF($U$2&lt;&gt;0,IF(O34*(1+$O$5)^3&lt;=$U$2*0.25,O34*M34/3*(1+$O$5)^3,$U$2*0.25*M34/3),O34*M34/3*(1+$O$5)^3),0)</f>
        <v>0</v>
      </c>
      <c r="F34" s="55">
        <f>IF($J$5&gt;4,IF($U$2&lt;&gt;0,IF(O34*(1+$O$5)^4&lt;=$U$2*0.25,O34*N34/3*(1+$O$5)^4,$U$2*0.25*N34/3),O34*N34/3*(1+$O$5)^4),0)</f>
        <v>0</v>
      </c>
      <c r="G34" s="54">
        <f>SUM(B34:F34)</f>
        <v>0</v>
      </c>
      <c r="H34" s="14"/>
      <c r="I34" s="106" t="s">
        <v>17</v>
      </c>
      <c r="J34" s="16">
        <v>0</v>
      </c>
      <c r="K34" s="16">
        <f>IF($J$5&gt;1,J34,0)</f>
        <v>0</v>
      </c>
      <c r="L34" s="16">
        <f>IF($J$5&gt;2,K34,0)</f>
        <v>0</v>
      </c>
      <c r="M34" s="16">
        <f>IF($J$5&gt;3,L34,0)</f>
        <v>0</v>
      </c>
      <c r="N34" s="16">
        <f>IF($J$5&gt;4,M34,0)</f>
        <v>0</v>
      </c>
      <c r="O34" s="145">
        <f>IF(U35="A",IF($U$2&lt;&gt;0,IF(T35/9*3&gt;($U$2/12*3),($U$2/12*3),T35/9*3),T35/9*3),0)</f>
        <v>0</v>
      </c>
      <c r="P34" s="157"/>
      <c r="Q34" s="157">
        <f>((SUM(J31:N31)-SUM(J33:N33)*9)/(CEILING($J$5*3,3)))*3</f>
        <v>0</v>
      </c>
      <c r="R34" s="12"/>
      <c r="S34" s="12"/>
      <c r="T34" s="1"/>
      <c r="U34" s="92"/>
      <c r="V34" s="92"/>
    </row>
    <row r="35" spans="1:22" outlineLevel="1" x14ac:dyDescent="0.25">
      <c r="A35" s="19"/>
      <c r="B35" s="55"/>
      <c r="C35" s="55"/>
      <c r="D35" s="56"/>
      <c r="E35" s="56"/>
      <c r="F35" s="56"/>
      <c r="G35" s="57"/>
      <c r="H35" s="20"/>
      <c r="I35" s="106" t="s">
        <v>109</v>
      </c>
      <c r="J35" s="147">
        <f>SUM(B32:B34)*$V35</f>
        <v>0</v>
      </c>
      <c r="K35" s="147">
        <f>SUM(C32:C34)*$V35</f>
        <v>0</v>
      </c>
      <c r="L35" s="147">
        <f>SUM(D32:D34)*$V35</f>
        <v>0</v>
      </c>
      <c r="M35" s="147">
        <f>SUM(E32:E34)*$V35</f>
        <v>0</v>
      </c>
      <c r="N35" s="147">
        <f>SUM(F32:F34)*$V35</f>
        <v>0</v>
      </c>
      <c r="O35" s="146"/>
      <c r="P35" s="157"/>
      <c r="Q35" s="157"/>
      <c r="R35" s="12"/>
      <c r="S35" s="12"/>
      <c r="T35" s="143">
        <v>0</v>
      </c>
      <c r="U35" s="144"/>
      <c r="V35" s="148">
        <f>$J$79</f>
        <v>0</v>
      </c>
    </row>
    <row r="36" spans="1:22" outlineLevel="1" x14ac:dyDescent="0.25">
      <c r="A36" s="19"/>
      <c r="B36" s="55"/>
      <c r="C36" s="55"/>
      <c r="D36" s="56"/>
      <c r="E36" s="56"/>
      <c r="F36" s="56"/>
      <c r="G36" s="57"/>
      <c r="H36" s="20"/>
      <c r="I36" s="124"/>
      <c r="J36" s="91"/>
      <c r="K36" s="91"/>
      <c r="L36" s="91"/>
      <c r="M36" s="91"/>
      <c r="N36" s="91"/>
      <c r="O36" s="22"/>
      <c r="P36" s="157"/>
      <c r="Q36" s="157"/>
      <c r="R36" s="12"/>
      <c r="S36" s="12"/>
      <c r="T36" s="90"/>
      <c r="U36" s="92"/>
      <c r="V36" s="92"/>
    </row>
    <row r="37" spans="1:22" outlineLevel="1" x14ac:dyDescent="0.25">
      <c r="A37" s="23" t="s">
        <v>84</v>
      </c>
      <c r="B37" s="55"/>
      <c r="C37" s="56"/>
      <c r="D37" s="56"/>
      <c r="E37" s="56"/>
      <c r="F37" s="56"/>
      <c r="G37" s="54"/>
      <c r="I37" s="106" t="s">
        <v>128</v>
      </c>
      <c r="J37" s="5">
        <f>IF(U41="F",J38*12,SUM(J39*9,J40))</f>
        <v>0</v>
      </c>
      <c r="K37" s="5">
        <f>IF(U41="F",K38*12,SUM(K39*9,K40))</f>
        <v>0</v>
      </c>
      <c r="L37" s="5">
        <f>IF(U41="F",L38*12,SUM(L39*9,L40))</f>
        <v>0</v>
      </c>
      <c r="M37" s="5">
        <f>IF(U41="F",M38*12,SUM(M39*9,M40))</f>
        <v>0</v>
      </c>
      <c r="N37" s="5">
        <f>IF(U41="F",N38*12,SUM(N39*9,N40))</f>
        <v>0</v>
      </c>
      <c r="O37" s="49" t="s">
        <v>51</v>
      </c>
      <c r="P37" s="153" t="s">
        <v>126</v>
      </c>
      <c r="Q37" s="153" t="s">
        <v>127</v>
      </c>
      <c r="R37" s="11"/>
      <c r="S37" s="12"/>
      <c r="T37" s="90"/>
      <c r="U37" s="92"/>
      <c r="V37" s="92"/>
    </row>
    <row r="38" spans="1:22" outlineLevel="1" x14ac:dyDescent="0.25">
      <c r="A38" s="13" t="str">
        <f>ROUND(P38*100, 2)&amp;"% Avg. Fiscal Effort, "&amp;ROUND(Q38, 2)&amp;" Avg. Calendar Months"</f>
        <v>0% Avg. Fiscal Effort, 0 Avg. Calendar Months</v>
      </c>
      <c r="B38" s="55">
        <f>O38*J38</f>
        <v>0</v>
      </c>
      <c r="C38" s="55">
        <f>IF($J$5&gt;1,IF($U$2&lt;&gt;0,IF(O38*(1+$O$5)&lt;=$U$2,O38*K38*(1+$O$5),$U$2*K38),O38*K38*(1+$O$5)),0)</f>
        <v>0</v>
      </c>
      <c r="D38" s="55">
        <f>IF($J$5&gt;2,IF($U$2&lt;&gt;0,IF(O38*(1+$O$5)^2&lt;=$U$2,O38*L38*(1+$O$5)^2,$U$2*L38),O38*L38*(1+$O$5)^2),0)</f>
        <v>0</v>
      </c>
      <c r="E38" s="55">
        <f>IF($J$5&gt;3,IF($U$2&lt;&gt;0,IF(O38*(1+$O$5)^3&lt;=$U$2,O38*M38*(1+$O$5)^3,$U$2*M38),O38*M38*(1+$O$5)^3),0)</f>
        <v>0</v>
      </c>
      <c r="F38" s="55">
        <f>IF($J$5&gt;4,IF($U$2&lt;&gt;0,IF(O38*(1+$O$5)^4&lt;=$U$2,O38*N38*(1+$O$5)^4,$U$2*N38),O38*N38*(1+$O$5)^4),0)</f>
        <v>0</v>
      </c>
      <c r="G38" s="54">
        <f>SUM(B38:F38)</f>
        <v>0</v>
      </c>
      <c r="H38" s="14"/>
      <c r="I38" s="106" t="s">
        <v>26</v>
      </c>
      <c r="J38" s="17">
        <v>0</v>
      </c>
      <c r="K38" s="17">
        <f>IF($J$5&gt;1,J38,0)</f>
        <v>0</v>
      </c>
      <c r="L38" s="17">
        <f>IF($J$5&gt;2,K38,0)</f>
        <v>0</v>
      </c>
      <c r="M38" s="17">
        <f>IF($J$5&gt;3,L38,0)</f>
        <v>0</v>
      </c>
      <c r="N38" s="17">
        <f>IF($J$5&gt;4,M38,0)</f>
        <v>0</v>
      </c>
      <c r="O38" s="145">
        <f>IF(U41="F",IF($U$2&lt;&gt;0,IF(T41&gt;$U$2,$U$2,T41),T41),0)</f>
        <v>0</v>
      </c>
      <c r="P38" s="154">
        <f>SUM(J37:N37)/(ROUNDUP($J$5,0)*12)</f>
        <v>0</v>
      </c>
      <c r="Q38" s="155">
        <f>(SUM(J37:N37)/(CEILING($J$5*12,12)))*12</f>
        <v>0</v>
      </c>
      <c r="R38" s="1"/>
      <c r="S38" s="1"/>
      <c r="T38" s="90"/>
      <c r="U38" s="92"/>
      <c r="V38" s="92"/>
    </row>
    <row r="39" spans="1:22" ht="15.75" customHeight="1" outlineLevel="1" x14ac:dyDescent="0.25">
      <c r="A39" s="481" t="str">
        <f>ROUND(P38*100,2)&amp;"% Annualized Effort, "&amp;ROUND(Q39,2)&amp;" Avg. Academic Months
"&amp;IF(SUM(J40:N40)&gt;0," and "&amp;Q40 &amp;" Avg. Summer Months", "")</f>
        <v xml:space="preserve">0% Annualized Effort, 0 Avg. Academic Months
</v>
      </c>
      <c r="B39" s="55">
        <f>J39*O39</f>
        <v>0</v>
      </c>
      <c r="C39" s="55">
        <f>IF($J$5&gt;1,IF($U$2&lt;&gt;0,IF(O39*(1+$O$5)&lt;=$U$2*0.75,O39*K39*(1+$O$5),$U$2*0.75*K39),O39*K39*(1+$O$5)),0)</f>
        <v>0</v>
      </c>
      <c r="D39" s="55">
        <f>IF($J$5&gt;2,IF($U$2&lt;&gt;0,IF(O39*(1+$O$5)^2&lt;=$U$2*0.75,O39*L39*(1+$O$5)^2,$U$2*0.75*L39),O39*L39*(1+$O$5)^2),0)</f>
        <v>0</v>
      </c>
      <c r="E39" s="55">
        <f>IF($J$5&gt;3,IF($U$2&lt;&gt;0,IF(O39*(1+$O$5)^3&lt;=$U$2*0.75,O39*M39*(1+$O$5)^3,$U$2*0.75*M39),O39*M39*(1+$O$5)^3),0)</f>
        <v>0</v>
      </c>
      <c r="F39" s="55">
        <f>IF($J$5&gt;4,IF($U$2&lt;&gt;0,IF(O39*(1+$O$5)^4&lt;=$U$2*0.75,O39*N39*(1+$O$5)^4,$U$2*0.75*N39),O39*N39*(1+$O$5)^4),0)</f>
        <v>0</v>
      </c>
      <c r="G39" s="54">
        <f>SUM(B39:F39)</f>
        <v>0</v>
      </c>
      <c r="H39" s="14"/>
      <c r="I39" s="106" t="s">
        <v>15</v>
      </c>
      <c r="J39" s="17">
        <v>0</v>
      </c>
      <c r="K39" s="17">
        <f>IF($J$5&gt;1,J39,0)</f>
        <v>0</v>
      </c>
      <c r="L39" s="17">
        <f>IF($J$5&gt;2,K39,0)</f>
        <v>0</v>
      </c>
      <c r="M39" s="17">
        <f>IF($J$5&gt;3,L39,0)</f>
        <v>0</v>
      </c>
      <c r="N39" s="17">
        <f>IF($J$5&gt;4,M39,0)</f>
        <v>0</v>
      </c>
      <c r="O39" s="145">
        <f>IF(U41="A",IF($U$2&lt;&gt;0,IF(T41&gt;($U$2/12*9),($U$2/12*9),T41),T41),0)</f>
        <v>0</v>
      </c>
      <c r="P39" s="166"/>
      <c r="Q39" s="156">
        <f>((SUM(J37:N37)-SUM(J40:N40))/(CEILING($J$5*9,9)))*9</f>
        <v>0</v>
      </c>
      <c r="R39" s="12"/>
      <c r="S39" s="12"/>
      <c r="T39" s="90"/>
      <c r="U39" s="92"/>
      <c r="V39" s="92"/>
    </row>
    <row r="40" spans="1:22" outlineLevel="1" x14ac:dyDescent="0.25">
      <c r="A40" s="481"/>
      <c r="B40" s="55">
        <f>J40/3*O40</f>
        <v>0</v>
      </c>
      <c r="C40" s="55">
        <f>IF($J$5&gt;1,IF($U$2&lt;&gt;0,IF(O40*(1+$O$5)&lt;=$U$2*0.25,O40*K40/3*(1+$O$5),$U$2*0.25*K40/3),O40*K40/3*(1+$O$5)),0)</f>
        <v>0</v>
      </c>
      <c r="D40" s="55">
        <f>IF($J$5&gt;2,IF($U$2&lt;&gt;0,IF(O40*(1+$O$5)^2&lt;=$U$2*0.25,O40*L40/3*(1+$O$5)^2,$U$2*0.25*L40/3),O40*L40/3*(1+$O$5)^2),0)</f>
        <v>0</v>
      </c>
      <c r="E40" s="55">
        <f>IF($J$5&gt;3,IF($U$2&lt;&gt;0,IF(O40*(1+$O$5)^3&lt;=$U$2*0.25,O40*M40/3*(1+$O$5)^3,$U$2*0.25*M40/3),O40*M40/3*(1+$O$5)^3),0)</f>
        <v>0</v>
      </c>
      <c r="F40" s="55">
        <f>IF($J$5&gt;4,IF($U$2&lt;&gt;0,IF(O40*(1+$O$5)^4&lt;=$U$2*0.25,O40*N40/3*(1+$O$5)^4,$U$2*0.25*N40/3),O40*N40/3*(1+$O$5)^4),0)</f>
        <v>0</v>
      </c>
      <c r="G40" s="54">
        <f>SUM(B40:F40)</f>
        <v>0</v>
      </c>
      <c r="H40" s="14"/>
      <c r="I40" s="106" t="s">
        <v>17</v>
      </c>
      <c r="J40" s="16">
        <v>0</v>
      </c>
      <c r="K40" s="16">
        <f>IF($J$5&gt;1,J40,0)</f>
        <v>0</v>
      </c>
      <c r="L40" s="16">
        <f>IF($J$5&gt;2,K40,0)</f>
        <v>0</v>
      </c>
      <c r="M40" s="16">
        <f>IF($J$5&gt;3,L40,0)</f>
        <v>0</v>
      </c>
      <c r="N40" s="16">
        <f>IF($J$5&gt;4,M40,0)</f>
        <v>0</v>
      </c>
      <c r="O40" s="145">
        <f>IF(U41="A",IF($U$2&lt;&gt;0,IF(T41/9*3&gt;($U$2/12*3),($U$2/12*3),T41/9*3),T41/9*3),0)</f>
        <v>0</v>
      </c>
      <c r="P40" s="157"/>
      <c r="Q40" s="157">
        <f>((SUM(J37:N37)-SUM(J39:N39)*9)/(CEILING($J$5*3,3)))*3</f>
        <v>0</v>
      </c>
      <c r="R40" s="12"/>
      <c r="S40" s="12"/>
      <c r="T40" s="1"/>
      <c r="U40" s="92"/>
      <c r="V40" s="92"/>
    </row>
    <row r="41" spans="1:22" outlineLevel="1" x14ac:dyDescent="0.25">
      <c r="A41" s="19"/>
      <c r="B41" s="55"/>
      <c r="C41" s="55"/>
      <c r="D41" s="56"/>
      <c r="E41" s="56"/>
      <c r="F41" s="56"/>
      <c r="G41" s="57"/>
      <c r="H41" s="20"/>
      <c r="I41" s="106" t="s">
        <v>109</v>
      </c>
      <c r="J41" s="147">
        <f>SUM(B38:B40)*$V41</f>
        <v>0</v>
      </c>
      <c r="K41" s="147">
        <f>SUM(C38:C40)*$V41</f>
        <v>0</v>
      </c>
      <c r="L41" s="147">
        <f>SUM(D38:D40)*$V41</f>
        <v>0</v>
      </c>
      <c r="M41" s="147">
        <f>SUM(E38:E40)*$V41</f>
        <v>0</v>
      </c>
      <c r="N41" s="147">
        <f>SUM(F38:F40)*$V41</f>
        <v>0</v>
      </c>
      <c r="O41" s="146"/>
      <c r="P41" s="157"/>
      <c r="Q41" s="157"/>
      <c r="R41" s="12"/>
      <c r="S41" s="12"/>
      <c r="T41" s="143">
        <v>0</v>
      </c>
      <c r="U41" s="144"/>
      <c r="V41" s="148">
        <f>$J$79</f>
        <v>0</v>
      </c>
    </row>
    <row r="42" spans="1:22" outlineLevel="1" x14ac:dyDescent="0.25">
      <c r="A42" s="19"/>
      <c r="B42" s="55"/>
      <c r="C42" s="55"/>
      <c r="D42" s="56"/>
      <c r="E42" s="56"/>
      <c r="F42" s="56"/>
      <c r="G42" s="57"/>
      <c r="H42" s="20"/>
      <c r="I42" s="124"/>
      <c r="J42" s="91"/>
      <c r="K42" s="91"/>
      <c r="L42" s="91"/>
      <c r="M42" s="91"/>
      <c r="N42" s="91"/>
      <c r="O42" s="22"/>
      <c r="P42" s="157"/>
      <c r="Q42" s="157"/>
      <c r="R42" s="12"/>
      <c r="S42" s="12"/>
      <c r="T42" s="90"/>
      <c r="U42" s="92"/>
      <c r="V42" s="92"/>
    </row>
    <row r="43" spans="1:22" outlineLevel="1" x14ac:dyDescent="0.25">
      <c r="A43" s="13"/>
      <c r="B43" s="55"/>
      <c r="C43" s="55"/>
      <c r="D43" s="55"/>
      <c r="E43" s="55"/>
      <c r="F43" s="55"/>
      <c r="G43" s="54"/>
      <c r="H43" s="14"/>
      <c r="I43" s="42"/>
      <c r="J43" s="5" t="s">
        <v>6</v>
      </c>
      <c r="K43" s="5" t="s">
        <v>5</v>
      </c>
      <c r="L43" s="5" t="s">
        <v>7</v>
      </c>
      <c r="M43" s="5" t="s">
        <v>8</v>
      </c>
      <c r="N43" s="5" t="s">
        <v>9</v>
      </c>
      <c r="O43" s="102" t="s">
        <v>51</v>
      </c>
      <c r="P43" s="154"/>
      <c r="Q43" s="154"/>
      <c r="R43" s="1"/>
      <c r="S43" s="1"/>
      <c r="T43" s="1"/>
      <c r="U43" s="90"/>
      <c r="V43" s="92"/>
    </row>
    <row r="44" spans="1:22" outlineLevel="1" x14ac:dyDescent="0.25">
      <c r="A44" s="23" t="str">
        <f>"TBN, Post-doc ("&amp;J44&amp;")"</f>
        <v>TBN, Post-doc ()</v>
      </c>
      <c r="B44" s="55"/>
      <c r="C44" s="55"/>
      <c r="D44" s="56"/>
      <c r="E44" s="56"/>
      <c r="F44" s="56"/>
      <c r="G44" s="54"/>
      <c r="H44" s="14"/>
      <c r="I44" s="106" t="s">
        <v>16</v>
      </c>
      <c r="J44" s="24"/>
      <c r="K44" s="125"/>
      <c r="L44" s="125"/>
      <c r="M44" s="125"/>
      <c r="N44" s="125"/>
      <c r="O44" s="15"/>
      <c r="P44" s="154"/>
      <c r="Q44" s="154"/>
      <c r="R44" s="1"/>
      <c r="S44" s="1"/>
      <c r="T44" s="1"/>
      <c r="U44" s="92"/>
      <c r="V44" s="92"/>
    </row>
    <row r="45" spans="1:22" outlineLevel="1" x14ac:dyDescent="0.25">
      <c r="A45" s="13" t="str">
        <f>ROUND(J45*100,2)&amp;"% FY Effort, "&amp;ROUND(J45*12,2)&amp;" Calendar Months"</f>
        <v>0% FY Effort, 0 Calendar Months</v>
      </c>
      <c r="B45" s="55">
        <f>J44*O44*J45</f>
        <v>0</v>
      </c>
      <c r="C45" s="55">
        <f>IF($J$5&gt;1, O44*K45*(1+$O$5), 0)</f>
        <v>0</v>
      </c>
      <c r="D45" s="55">
        <f>IF($J$5&gt;2, O44*L45*(1+$O$5)^2, 0)</f>
        <v>0</v>
      </c>
      <c r="E45" s="55">
        <f>IF($J$5&gt;3, O44*M45*(1+$O$5)^3, 0)</f>
        <v>0</v>
      </c>
      <c r="F45" s="55">
        <f>IF($J$5&gt;4, O44*N45*(1+$O$5)^4, 0)</f>
        <v>0</v>
      </c>
      <c r="G45" s="54">
        <f>SUM(B45:F45)</f>
        <v>0</v>
      </c>
      <c r="H45" s="14"/>
      <c r="I45" s="107" t="s">
        <v>26</v>
      </c>
      <c r="J45" s="26">
        <v>0</v>
      </c>
      <c r="K45" s="26">
        <f>IF($J$5&gt;1,J45,0)</f>
        <v>0</v>
      </c>
      <c r="L45" s="26">
        <f>IF($J$5&gt;2,K45,0)</f>
        <v>0</v>
      </c>
      <c r="M45" s="26">
        <f>IF($J$5&gt;3,L45,0)</f>
        <v>0</v>
      </c>
      <c r="N45" s="26">
        <f>IF($J$5&gt;4,M45,0)</f>
        <v>0</v>
      </c>
      <c r="O45" s="22"/>
      <c r="P45" s="154"/>
      <c r="Q45" s="154"/>
      <c r="R45" s="1"/>
      <c r="S45" s="1"/>
      <c r="T45" s="1"/>
      <c r="U45" s="92"/>
      <c r="V45" s="92"/>
    </row>
    <row r="46" spans="1:22" outlineLevel="1" x14ac:dyDescent="0.25">
      <c r="A46" s="13"/>
      <c r="B46" s="55"/>
      <c r="C46" s="55"/>
      <c r="D46" s="56"/>
      <c r="E46" s="56"/>
      <c r="F46" s="56"/>
      <c r="G46" s="54"/>
      <c r="H46" s="14"/>
      <c r="I46" s="4"/>
      <c r="O46" s="49" t="s">
        <v>51</v>
      </c>
      <c r="P46" s="154"/>
      <c r="Q46" s="154"/>
      <c r="R46" s="1"/>
      <c r="S46" s="1"/>
      <c r="T46" s="1"/>
      <c r="U46" s="92"/>
      <c r="V46" s="92"/>
    </row>
    <row r="47" spans="1:22" outlineLevel="1" x14ac:dyDescent="0.25">
      <c r="A47" s="23" t="str">
        <f>"TBN, Post-doc ("&amp;J47&amp;")"</f>
        <v>TBN, Post-doc ()</v>
      </c>
      <c r="B47" s="55"/>
      <c r="C47" s="55"/>
      <c r="D47" s="56"/>
      <c r="E47" s="56"/>
      <c r="F47" s="56"/>
      <c r="G47" s="54"/>
      <c r="H47" s="14"/>
      <c r="I47" s="106" t="s">
        <v>16</v>
      </c>
      <c r="J47" s="24"/>
      <c r="K47" s="125"/>
      <c r="L47" s="125"/>
      <c r="M47" s="125"/>
      <c r="N47" s="125"/>
      <c r="O47" s="15"/>
      <c r="P47" s="154"/>
      <c r="Q47" s="154"/>
      <c r="R47" s="1"/>
      <c r="S47" s="1"/>
      <c r="T47" s="1"/>
      <c r="U47" s="92"/>
      <c r="V47" s="92"/>
    </row>
    <row r="48" spans="1:22" outlineLevel="1" x14ac:dyDescent="0.25">
      <c r="A48" s="13" t="str">
        <f>ROUND(J48*100,2)&amp;"% FY Effort, "&amp;ROUND(J48*12,2)&amp;" Calendar Months"</f>
        <v>0% FY Effort, 0 Calendar Months</v>
      </c>
      <c r="B48" s="55">
        <f>J47*O47*J48</f>
        <v>0</v>
      </c>
      <c r="C48" s="55">
        <f>IF($J$5&gt;1, O47*K48*(1+$O$5), 0)</f>
        <v>0</v>
      </c>
      <c r="D48" s="55">
        <f>IF($J$5&gt;2, O47*L48*(1+$O$5)^2, 0)</f>
        <v>0</v>
      </c>
      <c r="E48" s="55">
        <f>IF($J$5&gt;3, O47*M48*(1+$O$5)^3, 0)</f>
        <v>0</v>
      </c>
      <c r="F48" s="55">
        <f>IF($J$5&gt;4, O47*N48*(1+$O$5)^4, 0)</f>
        <v>0</v>
      </c>
      <c r="G48" s="54">
        <f>SUM(B48:F48)</f>
        <v>0</v>
      </c>
      <c r="H48" s="14"/>
      <c r="I48" s="107" t="s">
        <v>26</v>
      </c>
      <c r="J48" s="26">
        <v>0</v>
      </c>
      <c r="K48" s="26">
        <f>IF($J$5&gt;1,J48,0)</f>
        <v>0</v>
      </c>
      <c r="L48" s="26">
        <f>IF($J$5&gt;2,K48,0)</f>
        <v>0</v>
      </c>
      <c r="M48" s="26">
        <f>IF($J$5&gt;3,L48,0)</f>
        <v>0</v>
      </c>
      <c r="N48" s="26">
        <f>IF($J$5&gt;4,M48,0)</f>
        <v>0</v>
      </c>
      <c r="O48" s="22"/>
      <c r="P48" s="154"/>
      <c r="Q48" s="154"/>
      <c r="R48" s="1"/>
      <c r="S48" s="1"/>
      <c r="T48" s="1"/>
      <c r="U48" s="92"/>
      <c r="V48" s="92"/>
    </row>
    <row r="49" spans="1:22" outlineLevel="1" x14ac:dyDescent="0.25">
      <c r="A49" s="13"/>
      <c r="B49" s="55"/>
      <c r="C49" s="55"/>
      <c r="D49" s="55"/>
      <c r="E49" s="55"/>
      <c r="F49" s="55"/>
      <c r="G49" s="54"/>
      <c r="H49" s="14"/>
      <c r="I49" s="4"/>
      <c r="O49" s="49" t="s">
        <v>51</v>
      </c>
      <c r="P49" s="154"/>
      <c r="Q49" s="154"/>
      <c r="R49" s="1"/>
      <c r="S49" s="1"/>
      <c r="T49" s="1"/>
      <c r="U49" s="92"/>
      <c r="V49" s="92"/>
    </row>
    <row r="50" spans="1:22" outlineLevel="1" x14ac:dyDescent="0.25">
      <c r="A50" s="23" t="str">
        <f>"TBN, Post-doc ("&amp;J50&amp;")"</f>
        <v>TBN, Post-doc ()</v>
      </c>
      <c r="B50" s="55"/>
      <c r="C50" s="55"/>
      <c r="D50" s="55"/>
      <c r="E50" s="55"/>
      <c r="F50" s="55"/>
      <c r="G50" s="54"/>
      <c r="H50" s="14"/>
      <c r="I50" s="106" t="s">
        <v>16</v>
      </c>
      <c r="J50" s="24"/>
      <c r="K50" s="125"/>
      <c r="L50" s="125"/>
      <c r="M50" s="125"/>
      <c r="N50" s="125"/>
      <c r="O50" s="15"/>
      <c r="P50" s="154"/>
      <c r="Q50" s="154"/>
      <c r="R50" s="1"/>
      <c r="S50" s="1"/>
      <c r="T50" s="1"/>
      <c r="U50" s="92"/>
      <c r="V50" s="92"/>
    </row>
    <row r="51" spans="1:22" outlineLevel="1" x14ac:dyDescent="0.25">
      <c r="A51" s="13" t="str">
        <f>ROUND(J51*100,2)&amp;"% FY Effort, "&amp;ROUND(J51*12,2)&amp;" Calendar Months"</f>
        <v>0% FY Effort, 0 Calendar Months</v>
      </c>
      <c r="B51" s="55">
        <f>J50*O50*J51</f>
        <v>0</v>
      </c>
      <c r="C51" s="55">
        <f>IF($J$5&gt;1, O50*K51*(1+$O$5), 0)</f>
        <v>0</v>
      </c>
      <c r="D51" s="55">
        <f>IF($J$5&gt;2, O50*L51*(1+$O$5)^2, 0)</f>
        <v>0</v>
      </c>
      <c r="E51" s="55">
        <f>IF($J$5&gt;3, O50*M51*(1+$O$5)^3, 0)</f>
        <v>0</v>
      </c>
      <c r="F51" s="55">
        <f>IF($J$5&gt;4, O50*N51*(1+$O$5)^4, 0)</f>
        <v>0</v>
      </c>
      <c r="G51" s="54">
        <f>SUM(B51:F51)</f>
        <v>0</v>
      </c>
      <c r="H51" s="14"/>
      <c r="I51" s="107" t="s">
        <v>26</v>
      </c>
      <c r="J51" s="26">
        <v>0</v>
      </c>
      <c r="K51" s="26">
        <f>IF($J$5&gt;1,J51,0)</f>
        <v>0</v>
      </c>
      <c r="L51" s="26">
        <f>IF($J$5&gt;2,K51,0)</f>
        <v>0</v>
      </c>
      <c r="M51" s="26">
        <f>IF($J$5&gt;3,L51,0)</f>
        <v>0</v>
      </c>
      <c r="N51" s="26">
        <f>IF($J$5&gt;4,M51,0)</f>
        <v>0</v>
      </c>
      <c r="O51" s="22"/>
      <c r="P51" s="154"/>
      <c r="Q51" s="154"/>
      <c r="R51" s="1"/>
      <c r="S51" s="1"/>
      <c r="T51" s="1"/>
      <c r="U51" s="92"/>
      <c r="V51" s="92"/>
    </row>
    <row r="52" spans="1:22" outlineLevel="1" x14ac:dyDescent="0.25">
      <c r="B52" s="55"/>
      <c r="C52" s="55"/>
      <c r="D52" s="56"/>
      <c r="E52" s="56"/>
      <c r="F52" s="56"/>
      <c r="G52" s="54"/>
      <c r="H52" s="14"/>
      <c r="I52" s="53" t="s">
        <v>48</v>
      </c>
      <c r="J52" s="105" t="b">
        <f>IF(J54&gt;0%,IF(J54&lt;50%,IF(J54&gt;0,($U$3/2),0),$U$3),IF(J55&gt;0%,IF(J55&lt;50%,IF(J55&gt;0,($U$3/2),0),$U$3)))</f>
        <v>0</v>
      </c>
      <c r="K52" s="105" t="b">
        <f>IF(K54&gt;0%,IF(K54&lt;50%,IF(K54&gt;0,(($U$3*(1+$V$3))/2),0),($U$3*(1+$V$3))),IF(K55&gt;0%,IF(K55&lt;50%,IF(K55&gt;0,(($U$3*(1+$V$3))/2),0),($U$3*(1+$V$3)))))</f>
        <v>0</v>
      </c>
      <c r="L52" s="105" t="b">
        <f>IF(L54&gt;0%,IF(L54&lt;50%,IF(L54&gt;0,(($U$3*(1+$V$3)^2)/2),0),($U$3*(1+$V$3)^2)),IF(L55&gt;0%,IF(L55&lt;50%,IF(L55&gt;0,(($U$3*(1+$V$3)^2)/2),0),($U$3*(1+$V$3)^2))))</f>
        <v>0</v>
      </c>
      <c r="M52" s="105" t="b">
        <f>IF(M54&gt;0%,IF(M54&lt;50%,IF(M54&gt;0,(($U$3*(1+$V$3)^3)/2),0),($U$3*(1+$V$3)^3)),IF(M55&gt;0%,IF(M55&lt;50%,IF(M55&gt;0,(($U$3*(1+$V$3)^3)/2),0),($U$3*(1+$V$3)^3))))</f>
        <v>0</v>
      </c>
      <c r="N52" s="105" t="b">
        <f>IF(N54&gt;0%,IF(N54&lt;50%,IF(N54&gt;0,(($U$3*(1+$V$3)^4)/2),0),($U$3*(1+$V$3)^4)),IF(N55&gt;0%,IF(N55&lt;50%,IF(N55&gt;0,(($U$3*(1+$V$3)^4)/2),0),($U$3*(1+$V$3)^4))))</f>
        <v>0</v>
      </c>
      <c r="O52" s="49" t="s">
        <v>51</v>
      </c>
      <c r="P52" s="153"/>
      <c r="Q52" s="153"/>
      <c r="R52" s="1"/>
      <c r="S52" s="18"/>
      <c r="T52"/>
      <c r="U52"/>
      <c r="V52" s="92"/>
    </row>
    <row r="53" spans="1:22" outlineLevel="1" x14ac:dyDescent="0.25">
      <c r="A53" s="23" t="s">
        <v>85</v>
      </c>
      <c r="B53" s="55"/>
      <c r="C53" s="55"/>
      <c r="D53" s="56"/>
      <c r="E53" s="56"/>
      <c r="F53" s="56"/>
      <c r="G53" s="54"/>
      <c r="H53" s="14"/>
      <c r="I53" s="106" t="s">
        <v>128</v>
      </c>
      <c r="J53" s="5">
        <f>IF($U53="F",J54*12,SUM(J55*9,J56))</f>
        <v>0</v>
      </c>
      <c r="K53" s="5">
        <f>IF($U53="F",K54*12,SUM(K55*9,K56))</f>
        <v>0</v>
      </c>
      <c r="L53" s="5">
        <f>IF($U53="F",L54*12,SUM(L55*9,L56))</f>
        <v>0</v>
      </c>
      <c r="M53" s="5">
        <f>IF($U53="F",M54*12,SUM(M55*9,M56))</f>
        <v>0</v>
      </c>
      <c r="N53" s="5">
        <f>IF($U53="F",N54*12,SUM(N55*9,N56))</f>
        <v>0</v>
      </c>
      <c r="O53" s="49"/>
      <c r="P53" s="153" t="s">
        <v>126</v>
      </c>
      <c r="Q53" s="153" t="s">
        <v>127</v>
      </c>
      <c r="R53" s="1"/>
      <c r="S53" s="1"/>
      <c r="T53" s="143">
        <v>0</v>
      </c>
      <c r="U53" s="144"/>
    </row>
    <row r="54" spans="1:22" outlineLevel="1" x14ac:dyDescent="0.25">
      <c r="A54" s="13" t="str">
        <f>ROUND(P54*100, 2)&amp;"% Avg. Fiscal Effort, "&amp;ROUND(Q54, 2)&amp;" Avg. Calendar Months"</f>
        <v>0% Avg. Fiscal Effort, 0 Avg. Calendar Months</v>
      </c>
      <c r="B54" s="55">
        <f>O54*J54</f>
        <v>0</v>
      </c>
      <c r="C54" s="55">
        <f>IF($J$5&gt;1,IF($U$2&lt;&gt;0,IF(O54*(1+$O$5)&lt;=$U$2,O54*K54*(1+$O$5),$U$2*K54),O54*K54*(1+$O$5)),0)</f>
        <v>0</v>
      </c>
      <c r="D54" s="55">
        <f>IF($J$5&gt;2,IF($U$2&lt;&gt;0,IF(O54*(1+$O$5)^2&lt;=$U$2,O54*L54*(1+$O$5)^2,$U$2*L54),O54*L54*(1+$O$5)^2),0)</f>
        <v>0</v>
      </c>
      <c r="E54" s="55">
        <f>IF($J$5&gt;3,IF($U$2&lt;&gt;0,IF(O54*(1+$O$5)^3&lt;=$U$2,O54*M54*(1+$O$5)^3,$U$2*M54),O54*M54*(1+$O$5)^3),0)</f>
        <v>0</v>
      </c>
      <c r="F54" s="55">
        <f>IF($J$5&gt;4,IF($U$2&lt;&gt;0,IF(O54*(1+$O$5)^4&lt;=$U$2,O54*N54*(1+$O$5)^4,$U$2*N54),O54*N54*(1+$O$5)^4),0)</f>
        <v>0</v>
      </c>
      <c r="G54" s="54">
        <f>SUM(B54:F54)</f>
        <v>0</v>
      </c>
      <c r="H54" s="14"/>
      <c r="I54" s="106" t="s">
        <v>26</v>
      </c>
      <c r="J54" s="17">
        <v>0</v>
      </c>
      <c r="K54" s="17">
        <f>IF($J$5&gt;1,J54,0)</f>
        <v>0</v>
      </c>
      <c r="L54" s="17">
        <f>IF($J$5&gt;2,K54,0)</f>
        <v>0</v>
      </c>
      <c r="M54" s="17">
        <f>IF($J$5&gt;3,L54,0)</f>
        <v>0</v>
      </c>
      <c r="N54" s="17">
        <f>IF($J$5&gt;4,M54,0)</f>
        <v>0</v>
      </c>
      <c r="O54" s="145">
        <f>IF(U53="F",IF($U$2&lt;&gt;0,IF(T53&gt;$U$2,$U$2,T53),T53),0)</f>
        <v>0</v>
      </c>
      <c r="P54" s="154">
        <f>SUM(J53:N53)/(ROUNDUP($J$5,0)*12)</f>
        <v>0</v>
      </c>
      <c r="Q54" s="155">
        <f>(SUM(J53:N53)/(CEILING($J$5*12,12)))*12</f>
        <v>0</v>
      </c>
      <c r="R54" s="1"/>
      <c r="S54" s="1"/>
      <c r="T54" s="90"/>
      <c r="U54" s="92"/>
      <c r="V54" s="92"/>
    </row>
    <row r="55" spans="1:22" outlineLevel="1" x14ac:dyDescent="0.25">
      <c r="A55" s="481" t="str">
        <f>ROUND(P54*100,2)&amp;"% Annualized Effort, "&amp;ROUND(Q55,2)&amp;" Avg. Academic Months
"&amp;IF(SUM(J56:N56)&gt;0," and "&amp;Q56 &amp;" Avg. Summer Months", "")</f>
        <v xml:space="preserve">0% Annualized Effort, 0 Avg. Academic Months
</v>
      </c>
      <c r="B55" s="55">
        <f>J55*O55</f>
        <v>0</v>
      </c>
      <c r="C55" s="55">
        <f>IF($J$5&gt;1,IF($U$2&lt;&gt;0,IF(O55*(1+$O$5)&lt;=$U$2*0.75,O55*K55*(1+$O$5),$U$2*0.75*K55),O55*K55*(1+$O$5)),0)</f>
        <v>0</v>
      </c>
      <c r="D55" s="55">
        <f>IF($J$5&gt;2,IF($U$2&lt;&gt;0,IF(O55*(1+$O$5)^2&lt;=$U$2*0.75,O55*L55*(1+$O$5)^2,$U$2*0.75*L55),O55*L55*(1+$O$5)^2),0)</f>
        <v>0</v>
      </c>
      <c r="E55" s="55">
        <f>IF($J$5&gt;3,IF($U$2&lt;&gt;0,IF(O55*(1+$O$5)^3&lt;=$U$2*0.75,O55*M55*(1+$O$5)^3,$U$2*0.75*M55),O55*M55*(1+$O$5)^3),0)</f>
        <v>0</v>
      </c>
      <c r="F55" s="55">
        <f>IF($J$5&gt;4,IF($U$2&lt;&gt;0,IF(O55*(1+$O$5)^4&lt;=$U$2*0.75,O55*N55*(1+$O$5)^4,$U$2*0.75*N55),O55*N55*(1+$O$5)^4),0)</f>
        <v>0</v>
      </c>
      <c r="G55" s="54">
        <f>SUM(B55:F55)</f>
        <v>0</v>
      </c>
      <c r="H55" s="14"/>
      <c r="I55" s="106" t="s">
        <v>15</v>
      </c>
      <c r="J55" s="17">
        <v>0</v>
      </c>
      <c r="K55" s="17">
        <f>IF($J$5&gt;1,J55,0)</f>
        <v>0</v>
      </c>
      <c r="L55" s="17">
        <f>IF($J$5&gt;2,K55,0)</f>
        <v>0</v>
      </c>
      <c r="M55" s="17">
        <f>IF($J$5&gt;3,L55,0)</f>
        <v>0</v>
      </c>
      <c r="N55" s="17">
        <f>IF($J$5&gt;4,M55,0)</f>
        <v>0</v>
      </c>
      <c r="O55" s="145">
        <f>IF(U53="A",IF($U$2&lt;&gt;0,IF(T53&gt;($U$2/12*9),($U$2/12*9),T53),T53),0)</f>
        <v>0</v>
      </c>
      <c r="P55" s="166"/>
      <c r="Q55" s="156">
        <f>((SUM(J53:N53)-SUM(J56:N56))/(CEILING($J$5*9,9)))*9</f>
        <v>0</v>
      </c>
      <c r="R55" s="12"/>
      <c r="S55" s="12"/>
      <c r="T55" s="90"/>
      <c r="U55" s="92"/>
      <c r="V55" s="92"/>
    </row>
    <row r="56" spans="1:22" outlineLevel="1" x14ac:dyDescent="0.25">
      <c r="A56" s="481"/>
      <c r="B56" s="55">
        <f>J56/3*O56</f>
        <v>0</v>
      </c>
      <c r="C56" s="55">
        <f>IF($J$5&gt;1,IF($U$2&lt;&gt;0,IF(O56*(1+$O$5)&lt;=$U$2*0.25,O56*K56/3*(1+$O$5),$U$2*0.25*K56/3),O56*K56/3*(1+$O$5)),0)</f>
        <v>0</v>
      </c>
      <c r="D56" s="55">
        <f>IF($J$5&gt;2,IF($U$2&lt;&gt;0,IF(O56*(1+$O$5)^2&lt;=$U$2*0.25,O56*L56/3*(1+$O$5)^2,$U$2*0.25*L56/3),O56*L56/3*(1+$O$5)^2),0)</f>
        <v>0</v>
      </c>
      <c r="E56" s="55">
        <f>IF($J$5&gt;3,IF($U$2&lt;&gt;0,IF(O56*(1+$O$5)^3&lt;=$U$2*0.25,O56*M56/3*(1+$O$5)^3,$U$2*0.25*M56/3),O56*M56/3*(1+$O$5)^3),0)</f>
        <v>0</v>
      </c>
      <c r="F56" s="55">
        <f>IF($J$5&gt;4,IF($U$2&lt;&gt;0,IF(O56*(1+$O$5)^4&lt;=$U$2*0.25,O56*N56/3*(1+$O$5)^4,$U$2*0.25*N56/3),O56*N56/3*(1+$O$5)^4),0)</f>
        <v>0</v>
      </c>
      <c r="G56" s="54">
        <f>SUM(B56:F56)</f>
        <v>0</v>
      </c>
      <c r="H56" s="14"/>
      <c r="I56" s="107" t="s">
        <v>17</v>
      </c>
      <c r="J56" s="188">
        <v>0</v>
      </c>
      <c r="K56" s="188">
        <f>IF($J$5&gt;1,J56,0)</f>
        <v>0</v>
      </c>
      <c r="L56" s="188">
        <f>IF($J$5&gt;2,K56,0)</f>
        <v>0</v>
      </c>
      <c r="M56" s="188">
        <f>IF($J$5&gt;3,L56,0)</f>
        <v>0</v>
      </c>
      <c r="N56" s="188">
        <f>IF($J$5&gt;4,M56,0)</f>
        <v>0</v>
      </c>
      <c r="O56" s="167">
        <f>IF(U53="A",IF($U$2&lt;&gt;0,IF(T53/9*3&gt;($U$2/12*3),($U$2/12*3),T53/9*3),T53/9*3),0)</f>
        <v>0</v>
      </c>
      <c r="P56" s="157"/>
      <c r="Q56" s="157">
        <f>((SUM(J53:N53)-SUM(J55:N55)*9)/(CEILING($J$5*3,3)))*3</f>
        <v>0</v>
      </c>
      <c r="R56" s="12"/>
      <c r="S56" s="12"/>
      <c r="T56" s="1"/>
      <c r="U56" s="92"/>
      <c r="V56" s="148"/>
    </row>
    <row r="57" spans="1:22" outlineLevel="1" x14ac:dyDescent="0.25">
      <c r="B57" s="55"/>
      <c r="C57" s="55"/>
      <c r="D57" s="56"/>
      <c r="E57" s="56"/>
      <c r="F57" s="56"/>
      <c r="G57" s="54"/>
      <c r="H57" s="14"/>
      <c r="I57" s="53" t="s">
        <v>48</v>
      </c>
      <c r="J57" s="105" t="b">
        <f>IF(J59&gt;0%,IF(J59&lt;50%,IF(J59&gt;0,($U$3/2),0),$U$3),IF(J60&gt;0%,IF(J60&lt;50%,IF(J60&gt;0,($U$3/2),0),$U$3)))</f>
        <v>0</v>
      </c>
      <c r="K57" s="105" t="b">
        <f>IF(K59&gt;0%,IF(K59&lt;50%,IF(K59&gt;0,(($U$3*(1+$V$3))/2),0),($U$3*(1+$V$3))),IF(K60&gt;0%,IF(K60&lt;50%,IF(K60&gt;0,(($U$3*(1+$V$3))/2),0),($U$3*(1+$V$3)))))</f>
        <v>0</v>
      </c>
      <c r="L57" s="105" t="b">
        <f>IF(L59&gt;0%,IF(L59&lt;50%,IF(L59&gt;0,(($U$3*(1+$V$3)^2)/2),0),($U$3*(1+$V$3)^2)),IF(L60&gt;0%,IF(L60&lt;50%,IF(L60&gt;0,(($U$3*(1+$V$3)^2)/2),0),($U$3*(1+$V$3)^2))))</f>
        <v>0</v>
      </c>
      <c r="M57" s="105" t="b">
        <f>IF(M59&gt;0%,IF(M59&lt;50%,IF(M59&gt;0,(($U$3*(1+$V$3)^3)/2),0),($U$3*(1+$V$3)^3)),IF(M60&gt;0%,IF(M60&lt;50%,IF(M60&gt;0,(($U$3*(1+$V$3)^3)/2),0),($U$3*(1+$V$3)^3))))</f>
        <v>0</v>
      </c>
      <c r="N57" s="105" t="b">
        <f>IF(N59&gt;0%,IF(N59&lt;50%,IF(N59&gt;0,(($U$3*(1+$V$3)^4)/2),0),($U$3*(1+$V$3)^4)),IF(N60&gt;0%,IF(N60&lt;50%,IF(N60&gt;0,(($U$3*(1+$V$3)^4)/2),0),($U$3*(1+$V$3)^4))))</f>
        <v>0</v>
      </c>
      <c r="O57" s="49" t="s">
        <v>51</v>
      </c>
      <c r="P57" s="153"/>
      <c r="Q57" s="153"/>
      <c r="R57" s="1"/>
      <c r="S57" s="18"/>
      <c r="T57" s="1"/>
    </row>
    <row r="58" spans="1:22" outlineLevel="1" x14ac:dyDescent="0.25">
      <c r="A58" s="23" t="s">
        <v>85</v>
      </c>
      <c r="B58" s="55"/>
      <c r="C58" s="55"/>
      <c r="D58" s="56"/>
      <c r="E58" s="56"/>
      <c r="F58" s="56"/>
      <c r="G58" s="54"/>
      <c r="H58" s="14"/>
      <c r="I58" s="106" t="s">
        <v>128</v>
      </c>
      <c r="J58" s="5">
        <f>IF($U58="F",J59*12,SUM(J60*9,J61))</f>
        <v>0</v>
      </c>
      <c r="K58" s="5">
        <f>IF($U58="F",K59*12,SUM(K60*9,K61))</f>
        <v>0</v>
      </c>
      <c r="L58" s="5">
        <f>IF($U58="F",L59*12,SUM(L60*9,L61))</f>
        <v>0</v>
      </c>
      <c r="M58" s="5">
        <f>IF($U58="F",M59*12,SUM(M60*9,M61))</f>
        <v>0</v>
      </c>
      <c r="N58" s="5">
        <f>IF($U58="F",N59*12,SUM(N60*9,N61))</f>
        <v>0</v>
      </c>
      <c r="O58" s="49"/>
      <c r="P58" s="153" t="s">
        <v>126</v>
      </c>
      <c r="Q58" s="153" t="s">
        <v>127</v>
      </c>
      <c r="R58" s="1"/>
      <c r="S58" s="1"/>
      <c r="T58" s="143">
        <v>0</v>
      </c>
      <c r="U58" s="144"/>
    </row>
    <row r="59" spans="1:22" outlineLevel="1" x14ac:dyDescent="0.25">
      <c r="A59" s="13" t="str">
        <f>ROUND(P59*100, 2)&amp;"% Avg. Fiscal Effort, "&amp;ROUND(Q59, 2)&amp;" Avg. Calendar Months"</f>
        <v>0% Avg. Fiscal Effort, 0 Avg. Calendar Months</v>
      </c>
      <c r="B59" s="55">
        <f>O59*J59</f>
        <v>0</v>
      </c>
      <c r="C59" s="55">
        <f>IF($J$5&gt;1,IF($U$2&lt;&gt;0,IF(O59*(1+$O$5)&lt;=$U$2,O59*K59*(1+$O$5),$U$2*K59),O59*K59*(1+$O$5)),0)</f>
        <v>0</v>
      </c>
      <c r="D59" s="55">
        <f>IF($J$5&gt;2,IF($U$2&lt;&gt;0,IF(O59*(1+$O$5)^2&lt;=$U$2,O59*L59*(1+$O$5)^2,$U$2*L59),O59*L59*(1+$O$5)^2),0)</f>
        <v>0</v>
      </c>
      <c r="E59" s="55">
        <f>IF($J$5&gt;3,IF($U$2&lt;&gt;0,IF(O59*(1+$O$5)^3&lt;=$U$2,O59*M59*(1+$O$5)^3,$U$2*M59),O59*M59*(1+$O$5)^3),0)</f>
        <v>0</v>
      </c>
      <c r="F59" s="55">
        <f>IF($J$5&gt;4,IF($U$2&lt;&gt;0,IF(O59*(1+$O$5)^4&lt;=$U$2,O59*N59*(1+$O$5)^4,$U$2*N59),O59*N59*(1+$O$5)^4),0)</f>
        <v>0</v>
      </c>
      <c r="G59" s="54">
        <f>SUM(B59:F59)</f>
        <v>0</v>
      </c>
      <c r="H59" s="14"/>
      <c r="I59" s="106" t="s">
        <v>26</v>
      </c>
      <c r="J59" s="17">
        <v>0</v>
      </c>
      <c r="K59" s="17">
        <f>IF($J$5&gt;1,J59,0)</f>
        <v>0</v>
      </c>
      <c r="L59" s="17">
        <f>IF($J$5&gt;2,K59,0)</f>
        <v>0</v>
      </c>
      <c r="M59" s="17">
        <f>IF($J$5&gt;3,L59,0)</f>
        <v>0</v>
      </c>
      <c r="N59" s="17">
        <f>IF($J$5&gt;4,M59,0)</f>
        <v>0</v>
      </c>
      <c r="O59" s="145">
        <f>IF(U58="F",IF($U$2&lt;&gt;0,IF(T58&gt;$U$2,$U$2,T58),T58),0)</f>
        <v>0</v>
      </c>
      <c r="P59" s="154">
        <f>SUM(J58:N58)/(ROUNDUP($J$5,0)*12)</f>
        <v>0</v>
      </c>
      <c r="Q59" s="155">
        <f>(SUM(J58:N58)/(CEILING($J$5*12,12)))*12</f>
        <v>0</v>
      </c>
      <c r="R59" s="1"/>
      <c r="S59" s="1"/>
      <c r="T59" s="90"/>
      <c r="U59" s="92"/>
      <c r="V59" s="92"/>
    </row>
    <row r="60" spans="1:22" outlineLevel="1" x14ac:dyDescent="0.25">
      <c r="A60" s="481" t="str">
        <f>ROUND(P59*100,2)&amp;"% Annualized Effort, "&amp;ROUND(Q60,2)&amp;" Avg. Academic Months
"&amp;IF(SUM(J61:N61)&gt;0," and "&amp;Q61 &amp;" Avg. Summer Months", "")</f>
        <v xml:space="preserve">0% Annualized Effort, 0 Avg. Academic Months
</v>
      </c>
      <c r="B60" s="55">
        <f>J60*O60</f>
        <v>0</v>
      </c>
      <c r="C60" s="55">
        <f>IF($J$5&gt;1,IF($U$2&lt;&gt;0,IF(O60*(1+$O$5)&lt;=$U$2*0.75,O60*K60*(1+$O$5),$U$2*0.75*K60),O60*K60*(1+$O$5)),0)</f>
        <v>0</v>
      </c>
      <c r="D60" s="55">
        <f>IF($J$5&gt;2,IF($U$2&lt;&gt;0,IF(O60*(1+$O$5)^2&lt;=$U$2*0.75,O60*L60*(1+$O$5)^2,$U$2*0.75*L60),O60*L60*(1+$O$5)^2),0)</f>
        <v>0</v>
      </c>
      <c r="E60" s="55">
        <f>IF($J$5&gt;3,IF($U$2&lt;&gt;0,IF(O60*(1+$O$5)^3&lt;=$U$2*0.75,O60*M60*(1+$O$5)^3,$U$2*0.75*M60),O60*M60*(1+$O$5)^3),0)</f>
        <v>0</v>
      </c>
      <c r="F60" s="55">
        <f>IF($J$5&gt;4,IF($U$2&lt;&gt;0,IF(O60*(1+$O$5)^4&lt;=$U$2*0.75,O60*N60*(1+$O$5)^4,$U$2*0.75*N60),O60*N60*(1+$O$5)^4),0)</f>
        <v>0</v>
      </c>
      <c r="G60" s="54">
        <f>SUM(B60:F60)</f>
        <v>0</v>
      </c>
      <c r="H60" s="14"/>
      <c r="I60" s="106" t="s">
        <v>15</v>
      </c>
      <c r="J60" s="17">
        <v>0</v>
      </c>
      <c r="K60" s="17">
        <f>IF($J$5&gt;1,J60,0)</f>
        <v>0</v>
      </c>
      <c r="L60" s="17">
        <f>IF($J$5&gt;2,K60,0)</f>
        <v>0</v>
      </c>
      <c r="M60" s="17">
        <f>IF($J$5&gt;3,L60,0)</f>
        <v>0</v>
      </c>
      <c r="N60" s="17">
        <f>IF($J$5&gt;4,M60,0)</f>
        <v>0</v>
      </c>
      <c r="O60" s="145">
        <f>IF(U58="A",IF($U$2&lt;&gt;0,IF(T58&gt;($U$2/12*9),($U$2/12*9),T58),T58),0)</f>
        <v>0</v>
      </c>
      <c r="P60" s="166"/>
      <c r="Q60" s="156">
        <f>((SUM(J58:N58)-SUM(J61:N61))/(CEILING($J$5*9,9)))*9</f>
        <v>0</v>
      </c>
      <c r="R60" s="12"/>
      <c r="S60" s="12"/>
      <c r="T60" s="90"/>
      <c r="U60" s="92"/>
      <c r="V60" s="92"/>
    </row>
    <row r="61" spans="1:22" outlineLevel="1" x14ac:dyDescent="0.25">
      <c r="A61" s="481"/>
      <c r="B61" s="55">
        <f>J61/3*O61</f>
        <v>0</v>
      </c>
      <c r="C61" s="55">
        <f>IF($J$5&gt;1,IF($U$2&lt;&gt;0,IF(O61*(1+$O$5)&lt;=$U$2*0.25,O61*K61/3*(1+$O$5),$U$2*0.25*K61/3),O61*K61/3*(1+$O$5)),0)</f>
        <v>0</v>
      </c>
      <c r="D61" s="55">
        <f>IF($J$5&gt;2,IF($U$2&lt;&gt;0,IF(O61*(1+$O$5)^2&lt;=$U$2*0.25,O61*L61/3*(1+$O$5)^2,$U$2*0.25*L61/3),O61*L61/3*(1+$O$5)^2),0)</f>
        <v>0</v>
      </c>
      <c r="E61" s="55">
        <f>IF($J$5&gt;3,IF($U$2&lt;&gt;0,IF(O61*(1+$O$5)^3&lt;=$U$2*0.25,O61*M61/3*(1+$O$5)^3,$U$2*0.25*M61/3),O61*M61/3*(1+$O$5)^3),0)</f>
        <v>0</v>
      </c>
      <c r="F61" s="55">
        <f>IF($J$5&gt;4,IF($U$2&lt;&gt;0,IF(O61*(1+$O$5)^4&lt;=$U$2*0.25,O61*N61/3*(1+$O$5)^4,$U$2*0.25*N61/3),O61*N61/3*(1+$O$5)^4),0)</f>
        <v>0</v>
      </c>
      <c r="G61" s="54">
        <f>SUM(B61:F61)</f>
        <v>0</v>
      </c>
      <c r="H61" s="14"/>
      <c r="I61" s="107" t="s">
        <v>17</v>
      </c>
      <c r="J61" s="188">
        <v>0</v>
      </c>
      <c r="K61" s="188">
        <f>IF($J$5&gt;1,J61,0)</f>
        <v>0</v>
      </c>
      <c r="L61" s="188">
        <f>IF($J$5&gt;2,K61,0)</f>
        <v>0</v>
      </c>
      <c r="M61" s="188">
        <f>IF($J$5&gt;3,L61,0)</f>
        <v>0</v>
      </c>
      <c r="N61" s="188">
        <f>IF($J$5&gt;4,M61,0)</f>
        <v>0</v>
      </c>
      <c r="O61" s="167">
        <f>IF(U58="A",IF($U$2&lt;&gt;0,IF(T58/9*3&gt;($U$2/12*3),($U$2/12*3),T58/9*3),T58/9*3),0)</f>
        <v>0</v>
      </c>
      <c r="P61" s="157"/>
      <c r="Q61" s="157">
        <f>((SUM(J58:N58)-SUM(J60:N60)*9)/(CEILING($J$5*3,3)))*3</f>
        <v>0</v>
      </c>
      <c r="R61" s="12"/>
      <c r="S61" s="12"/>
      <c r="T61" s="1"/>
      <c r="U61" s="92"/>
      <c r="V61" s="148"/>
    </row>
    <row r="62" spans="1:22" outlineLevel="1" x14ac:dyDescent="0.25">
      <c r="B62" s="55"/>
      <c r="C62" s="55"/>
      <c r="D62" s="55"/>
      <c r="E62" s="55"/>
      <c r="F62" s="55"/>
      <c r="G62" s="54"/>
      <c r="H62" s="14"/>
      <c r="I62" s="53" t="s">
        <v>48</v>
      </c>
      <c r="J62" s="105" t="b">
        <f>IF(J64&gt;0%,IF(J64&lt;50%,IF(J64&gt;0,($U$3/2),0),$U$3),IF(J65&gt;0%,IF(J65&lt;50%,IF(J65&gt;0,($U$3/2),0),$U$3)))</f>
        <v>0</v>
      </c>
      <c r="K62" s="105" t="b">
        <f>IF(K64&gt;0%,IF(K64&lt;50%,IF(K64&gt;0,(($U$3*(1+$V$3))/2),0),($U$3*(1+$V$3))),IF(K65&gt;0%,IF(K65&lt;50%,IF(K65&gt;0,(($U$3*(1+$V$3))/2),0),($U$3*(1+$V$3)))))</f>
        <v>0</v>
      </c>
      <c r="L62" s="105" t="b">
        <f>IF(L64&gt;0%,IF(L64&lt;50%,IF(L64&gt;0,(($U$3*(1+$V$3)^2)/2),0),($U$3*(1+$V$3)^2)),IF(L65&gt;0%,IF(L65&lt;50%,IF(L65&gt;0,(($U$3*(1+$V$3)^2)/2),0),($U$3*(1+$V$3)^2))))</f>
        <v>0</v>
      </c>
      <c r="M62" s="105" t="b">
        <f>IF(M64&gt;0%,IF(M64&lt;50%,IF(M64&gt;0,(($U$3*(1+$V$3)^3)/2),0),($U$3*(1+$V$3)^3)),IF(M65&gt;0%,IF(M65&lt;50%,IF(M65&gt;0,(($U$3*(1+$V$3)^3)/2),0),($U$3*(1+$V$3)^3))))</f>
        <v>0</v>
      </c>
      <c r="N62" s="105" t="b">
        <f>IF(N64&gt;0%,IF(N64&lt;50%,IF(N64&gt;0,(($U$3*(1+$V$3)^4)/2),0),($U$3*(1+$V$3)^4)),IF(N65&gt;0%,IF(N65&lt;50%,IF(N65&gt;0,(($U$3*(1+$V$3)^4)/2),0),($U$3*(1+$V$3)^4))))</f>
        <v>0</v>
      </c>
      <c r="O62" s="49" t="s">
        <v>51</v>
      </c>
      <c r="P62" s="153"/>
      <c r="Q62" s="153"/>
      <c r="R62" s="1"/>
      <c r="S62" s="18"/>
      <c r="T62" s="1"/>
    </row>
    <row r="63" spans="1:22" outlineLevel="1" x14ac:dyDescent="0.25">
      <c r="A63" s="23" t="s">
        <v>85</v>
      </c>
      <c r="B63" s="55"/>
      <c r="C63" s="55"/>
      <c r="D63" s="55"/>
      <c r="E63" s="55"/>
      <c r="F63" s="55"/>
      <c r="G63" s="54"/>
      <c r="H63" s="14"/>
      <c r="I63" s="106" t="s">
        <v>128</v>
      </c>
      <c r="J63" s="5">
        <f>IF($U63="F",J64*12,SUM(J65*9,J66))</f>
        <v>0</v>
      </c>
      <c r="K63" s="5">
        <f>IF($U63="F",K64*12,SUM(K65*9,K66))</f>
        <v>0</v>
      </c>
      <c r="L63" s="5">
        <f>IF($U63="F",L64*12,SUM(L65*9,L66))</f>
        <v>0</v>
      </c>
      <c r="M63" s="5">
        <f>IF($U63="F",M64*12,SUM(M65*9,M66))</f>
        <v>0</v>
      </c>
      <c r="N63" s="5">
        <f>IF($U63="F",N64*12,SUM(N65*9,N66))</f>
        <v>0</v>
      </c>
      <c r="O63" s="49"/>
      <c r="P63" s="153" t="s">
        <v>126</v>
      </c>
      <c r="Q63" s="153" t="s">
        <v>127</v>
      </c>
      <c r="R63" s="1"/>
      <c r="S63" s="1"/>
      <c r="T63" s="143">
        <v>0</v>
      </c>
      <c r="U63" s="144"/>
    </row>
    <row r="64" spans="1:22" outlineLevel="1" x14ac:dyDescent="0.25">
      <c r="A64" s="13" t="str">
        <f>ROUND(P64*100, 2)&amp;"% Avg. Fiscal Effort, "&amp;ROUND(Q64, 2)&amp;" Avg. Calendar Months"</f>
        <v>0% Avg. Fiscal Effort, 0 Avg. Calendar Months</v>
      </c>
      <c r="B64" s="55">
        <f>O64*J64</f>
        <v>0</v>
      </c>
      <c r="C64" s="55">
        <f>IF($J$5&gt;1,IF($U$2&lt;&gt;0,IF(O64*(1+$O$5)&lt;=$U$2,O64*K64*(1+$O$5),$U$2*K64),O64*K64*(1+$O$5)),0)</f>
        <v>0</v>
      </c>
      <c r="D64" s="55">
        <f>IF($J$5&gt;2,IF($U$2&lt;&gt;0,IF(O64*(1+$O$5)^2&lt;=$U$2,O64*L64*(1+$O$5)^2,$U$2*L64),O64*L64*(1+$O$5)^2),0)</f>
        <v>0</v>
      </c>
      <c r="E64" s="55">
        <f>IF($J$5&gt;3,IF($U$2&lt;&gt;0,IF(O64*(1+$O$5)^3&lt;=$U$2,O64*M64*(1+$O$5)^3,$U$2*M64),O64*M64*(1+$O$5)^3),0)</f>
        <v>0</v>
      </c>
      <c r="F64" s="55">
        <f>IF($J$5&gt;4,IF($U$2&lt;&gt;0,IF(O64*(1+$O$5)^4&lt;=$U$2,O64*N64*(1+$O$5)^4,$U$2*N64),O64*N64*(1+$O$5)^4),0)</f>
        <v>0</v>
      </c>
      <c r="G64" s="54">
        <f>SUM(B64:F64)</f>
        <v>0</v>
      </c>
      <c r="H64" s="14"/>
      <c r="I64" s="106" t="s">
        <v>26</v>
      </c>
      <c r="J64" s="17">
        <v>0</v>
      </c>
      <c r="K64" s="17">
        <f>IF($J$5&gt;1,J64,0)</f>
        <v>0</v>
      </c>
      <c r="L64" s="17">
        <f>IF($J$5&gt;2,K64,0)</f>
        <v>0</v>
      </c>
      <c r="M64" s="17">
        <f>IF($J$5&gt;3,L64,0)</f>
        <v>0</v>
      </c>
      <c r="N64" s="17">
        <f>IF($J$5&gt;4,M64,0)</f>
        <v>0</v>
      </c>
      <c r="O64" s="145">
        <f>IF(U63="F",IF($U$2&lt;&gt;0,IF(T63&gt;$U$2,$U$2,T63),T63),0)</f>
        <v>0</v>
      </c>
      <c r="P64" s="154">
        <f>SUM(J63:N63)/(ROUNDUP($J$5,0)*12)</f>
        <v>0</v>
      </c>
      <c r="Q64" s="155">
        <f>(SUM(J63:N63)/(CEILING($J$5*12,12)))*12</f>
        <v>0</v>
      </c>
      <c r="R64" s="1"/>
      <c r="S64" s="1"/>
      <c r="T64" s="90"/>
      <c r="U64" s="92"/>
      <c r="V64" s="92"/>
    </row>
    <row r="65" spans="1:22" outlineLevel="1" x14ac:dyDescent="0.25">
      <c r="A65" s="481" t="str">
        <f>ROUND(P64*100,2)&amp;"% Annualized Effort, "&amp;ROUND(Q65,2)&amp;" Avg. Academic Months
"&amp;IF(SUM(J66:N66)&gt;0," and "&amp;Q66 &amp;" Avg. Summer Months", "")</f>
        <v xml:space="preserve">0% Annualized Effort, 0 Avg. Academic Months
</v>
      </c>
      <c r="B65" s="55">
        <f>J65*O65</f>
        <v>0</v>
      </c>
      <c r="C65" s="55">
        <f>IF($J$5&gt;1,IF($U$2&lt;&gt;0,IF(O65*(1+$O$5)&lt;=$U$2*0.75,O65*K65*(1+$O$5),$U$2*0.75*K65),O65*K65*(1+$O$5)),0)</f>
        <v>0</v>
      </c>
      <c r="D65" s="55">
        <f>IF($J$5&gt;2,IF($U$2&lt;&gt;0,IF(O65*(1+$O$5)^2&lt;=$U$2*0.75,O65*L65*(1+$O$5)^2,$U$2*0.75*L65),O65*L65*(1+$O$5)^2),0)</f>
        <v>0</v>
      </c>
      <c r="E65" s="55">
        <f>IF($J$5&gt;3,IF($U$2&lt;&gt;0,IF(O65*(1+$O$5)^3&lt;=$U$2*0.75,O65*M65*(1+$O$5)^3,$U$2*0.75*M65),O65*M65*(1+$O$5)^3),0)</f>
        <v>0</v>
      </c>
      <c r="F65" s="55">
        <f>IF($J$5&gt;4,IF($U$2&lt;&gt;0,IF(O65*(1+$O$5)^4&lt;=$U$2*0.75,O65*N65*(1+$O$5)^4,$U$2*0.75*N65),O65*N65*(1+$O$5)^4),0)</f>
        <v>0</v>
      </c>
      <c r="G65" s="54">
        <f>SUM(B65:F65)</f>
        <v>0</v>
      </c>
      <c r="H65" s="14"/>
      <c r="I65" s="106" t="s">
        <v>15</v>
      </c>
      <c r="J65" s="17">
        <v>0</v>
      </c>
      <c r="K65" s="17">
        <f>IF($J$5&gt;1,J65,0)</f>
        <v>0</v>
      </c>
      <c r="L65" s="17">
        <f>IF($J$5&gt;2,K65,0)</f>
        <v>0</v>
      </c>
      <c r="M65" s="17">
        <f>IF($J$5&gt;3,L65,0)</f>
        <v>0</v>
      </c>
      <c r="N65" s="17">
        <f>IF($J$5&gt;4,M65,0)</f>
        <v>0</v>
      </c>
      <c r="O65" s="145">
        <f>IF(U63="A",IF($U$2&lt;&gt;0,IF(T63&gt;($U$2/12*9),($U$2/12*9),T63),T63),0)</f>
        <v>0</v>
      </c>
      <c r="P65" s="166"/>
      <c r="Q65" s="156">
        <f>((SUM(J63:N63)-SUM(J66:N66))/(CEILING($J$5*9,9)))*9</f>
        <v>0</v>
      </c>
      <c r="R65" s="12"/>
      <c r="S65" s="12"/>
      <c r="T65" s="90"/>
      <c r="U65" s="92"/>
      <c r="V65" s="92"/>
    </row>
    <row r="66" spans="1:22" outlineLevel="1" x14ac:dyDescent="0.25">
      <c r="A66" s="481"/>
      <c r="B66" s="55">
        <f>J66/3*O66</f>
        <v>0</v>
      </c>
      <c r="C66" s="55">
        <f>IF($J$5&gt;1,IF($U$2&lt;&gt;0,IF(O66*(1+$O$5)&lt;=$U$2*0.25,O66*K66/3*(1+$O$5),$U$2*0.25*K66/3),O66*K66/3*(1+$O$5)),0)</f>
        <v>0</v>
      </c>
      <c r="D66" s="55">
        <f>IF($J$5&gt;2,IF($U$2&lt;&gt;0,IF(O66*(1+$O$5)^2&lt;=$U$2*0.25,O66*L66/3*(1+$O$5)^2,$U$2*0.25*L66/3),O66*L66/3*(1+$O$5)^2),0)</f>
        <v>0</v>
      </c>
      <c r="E66" s="55">
        <f>IF($J$5&gt;3,IF($U$2&lt;&gt;0,IF(O66*(1+$O$5)^3&lt;=$U$2*0.25,O66*M66/3*(1+$O$5)^3,$U$2*0.25*M66/3),O66*M66/3*(1+$O$5)^3),0)</f>
        <v>0</v>
      </c>
      <c r="F66" s="55">
        <f>IF($J$5&gt;4,IF($U$2&lt;&gt;0,IF(O66*(1+$O$5)^4&lt;=$U$2*0.25,O66*N66/3*(1+$O$5)^4,$U$2*0.25*N66/3),O66*N66/3*(1+$O$5)^4),0)</f>
        <v>0</v>
      </c>
      <c r="G66" s="54">
        <f>SUM(B66:F66)</f>
        <v>0</v>
      </c>
      <c r="H66" s="14"/>
      <c r="I66" s="106" t="s">
        <v>17</v>
      </c>
      <c r="J66" s="188">
        <v>0</v>
      </c>
      <c r="K66" s="188">
        <f>IF($J$5&gt;1,J66,0)</f>
        <v>0</v>
      </c>
      <c r="L66" s="188">
        <f>IF($J$5&gt;2,K66,0)</f>
        <v>0</v>
      </c>
      <c r="M66" s="188">
        <f>IF($J$5&gt;3,L66,0)</f>
        <v>0</v>
      </c>
      <c r="N66" s="188">
        <f>IF($J$5&gt;4,M66,0)</f>
        <v>0</v>
      </c>
      <c r="O66" s="167">
        <f>IF(U63="A",IF($U$2&lt;&gt;0,IF(T63/9*3&gt;($U$2/12*3),($U$2/12*3),T63/9*3),T63/9*3),0)</f>
        <v>0</v>
      </c>
      <c r="P66" s="157"/>
      <c r="Q66" s="157">
        <f>((SUM(J63:N63)-SUM(J65:N65)*9)/(CEILING($J$5*3,3)))*3</f>
        <v>0</v>
      </c>
      <c r="R66" s="12"/>
      <c r="S66" s="12"/>
      <c r="T66" s="1"/>
      <c r="U66" s="92"/>
      <c r="V66" s="148"/>
    </row>
    <row r="67" spans="1:22" outlineLevel="1" x14ac:dyDescent="0.25">
      <c r="A67" s="13"/>
      <c r="B67" s="55"/>
      <c r="C67" s="55"/>
      <c r="D67" s="56"/>
      <c r="E67" s="56"/>
      <c r="F67" s="56"/>
      <c r="G67" s="54"/>
      <c r="H67" s="14"/>
      <c r="I67" s="42"/>
      <c r="J67" s="5" t="s">
        <v>6</v>
      </c>
      <c r="K67" s="5" t="s">
        <v>5</v>
      </c>
      <c r="L67" s="5" t="s">
        <v>7</v>
      </c>
      <c r="M67" s="5" t="s">
        <v>8</v>
      </c>
      <c r="N67" s="5" t="s">
        <v>9</v>
      </c>
      <c r="O67" s="187" t="s">
        <v>50</v>
      </c>
      <c r="P67" s="154"/>
      <c r="Q67" s="154"/>
      <c r="R67" s="1"/>
      <c r="S67" s="1"/>
      <c r="T67" s="1"/>
    </row>
    <row r="68" spans="1:22" outlineLevel="1" x14ac:dyDescent="0.25">
      <c r="A68" s="23" t="str">
        <f>"TBN, Student Worker ("&amp;J68&amp;")"</f>
        <v>TBN, Student Worker (0)</v>
      </c>
      <c r="B68" s="55"/>
      <c r="C68" s="55"/>
      <c r="D68" s="56"/>
      <c r="E68" s="56"/>
      <c r="F68" s="56"/>
      <c r="G68" s="54"/>
      <c r="H68" s="14"/>
      <c r="I68" s="4" t="s">
        <v>49</v>
      </c>
      <c r="J68" s="25">
        <v>0</v>
      </c>
      <c r="K68" s="126"/>
      <c r="L68" s="126"/>
      <c r="M68" s="126"/>
      <c r="N68" s="126"/>
      <c r="O68" s="108">
        <v>0</v>
      </c>
      <c r="P68" s="154"/>
      <c r="Q68" s="154"/>
      <c r="R68" s="1"/>
      <c r="S68" s="1"/>
      <c r="T68" s="1"/>
    </row>
    <row r="69" spans="1:22" outlineLevel="1" x14ac:dyDescent="0.25">
      <c r="A69" s="13" t="str">
        <f>J69&amp;" hours per student @ $"&amp;O68&amp;"/hour"</f>
        <v xml:space="preserve"> hours per student @ $0/hour</v>
      </c>
      <c r="B69" s="55">
        <f>J68*J69*O68</f>
        <v>0</v>
      </c>
      <c r="C69" s="55">
        <f>IF($J$5&gt;1,$J$68*K69*$O$68*(1+$O$5),0)</f>
        <v>0</v>
      </c>
      <c r="D69" s="55">
        <f>IF($J$5&gt;2,$J$68*L69*$O$68*(1+$O$5)^2,0)</f>
        <v>0</v>
      </c>
      <c r="E69" s="55">
        <f>IF($J$5&gt;3,$J$68*M69*$O$68*(1+$O$5)^3,0)</f>
        <v>0</v>
      </c>
      <c r="F69" s="55">
        <f>IF($J$5&gt;4,$J$68*N69*$O$68*(1+$O$5)^4,0)</f>
        <v>0</v>
      </c>
      <c r="G69" s="54">
        <f>SUM(B69:F69)</f>
        <v>0</v>
      </c>
      <c r="H69" s="14"/>
      <c r="I69" s="21" t="s">
        <v>56</v>
      </c>
      <c r="J69" s="27"/>
      <c r="K69" s="188">
        <f>IF($J$5&gt;1,J69,0)</f>
        <v>0</v>
      </c>
      <c r="L69" s="27">
        <f>IF($J$5&gt;2,K69,0)</f>
        <v>0</v>
      </c>
      <c r="M69" s="27">
        <f>IF($J$5&gt;3,L69,0)</f>
        <v>0</v>
      </c>
      <c r="N69" s="27">
        <f>IF($J$5&gt;4,M69,0)</f>
        <v>0</v>
      </c>
      <c r="O69" s="22"/>
      <c r="P69" s="154"/>
      <c r="Q69" s="154"/>
      <c r="R69" s="1"/>
      <c r="S69" s="1"/>
      <c r="T69" s="1"/>
    </row>
    <row r="70" spans="1:22" outlineLevel="1" x14ac:dyDescent="0.25">
      <c r="A70" s="13"/>
      <c r="B70" s="55"/>
      <c r="C70" s="55"/>
      <c r="D70" s="55"/>
      <c r="E70" s="55"/>
      <c r="F70" s="55"/>
      <c r="G70" s="54"/>
      <c r="H70" s="14"/>
      <c r="I70" s="4"/>
      <c r="J70" s="126"/>
      <c r="K70" s="126"/>
      <c r="L70" s="126"/>
      <c r="M70" s="126"/>
      <c r="N70" s="126"/>
      <c r="O70" s="51" t="s">
        <v>50</v>
      </c>
      <c r="P70" s="154"/>
      <c r="Q70" s="154"/>
      <c r="R70" s="1"/>
      <c r="S70" s="1"/>
      <c r="T70" s="1"/>
    </row>
    <row r="71" spans="1:22" outlineLevel="1" x14ac:dyDescent="0.25">
      <c r="A71" s="23" t="str">
        <f>"TBN, Student Worker ("&amp;J71&amp;")"</f>
        <v>TBN, Student Worker (0)</v>
      </c>
      <c r="B71" s="55"/>
      <c r="C71" s="55"/>
      <c r="D71" s="56"/>
      <c r="E71" s="56"/>
      <c r="F71" s="56"/>
      <c r="G71" s="54"/>
      <c r="H71" s="14"/>
      <c r="I71" s="4" t="s">
        <v>49</v>
      </c>
      <c r="J71" s="25">
        <v>0</v>
      </c>
      <c r="K71" s="126"/>
      <c r="L71" s="126"/>
      <c r="M71" s="126"/>
      <c r="N71" s="126"/>
      <c r="O71" s="108">
        <v>0</v>
      </c>
      <c r="P71" s="154"/>
      <c r="Q71" s="154"/>
      <c r="R71" s="1"/>
      <c r="S71" s="1"/>
      <c r="T71" s="1"/>
    </row>
    <row r="72" spans="1:22" outlineLevel="1" x14ac:dyDescent="0.25">
      <c r="A72" s="13" t="str">
        <f>J72&amp;" hours per student @ $"&amp;O71&amp;"/hour"</f>
        <v xml:space="preserve"> hours per student @ $0/hour</v>
      </c>
      <c r="B72" s="55">
        <f>J71*J72*O71</f>
        <v>0</v>
      </c>
      <c r="C72" s="55">
        <f>IF($J$5&gt;1,$J$71*K72*$O$71*(1+$O$5),0)</f>
        <v>0</v>
      </c>
      <c r="D72" s="55">
        <f>IF($J$5&gt;2,$J$71*L72*$O$71*(1+$O$5)^2,0)</f>
        <v>0</v>
      </c>
      <c r="E72" s="55">
        <f>IF($J$5&gt;3,$J$71*M72*$O$71*(1+$O$5)^3,0)</f>
        <v>0</v>
      </c>
      <c r="F72" s="55">
        <f>IF($J$5&gt;4,$J$71*N72*$O$71*(1+$O$5)^4,0)</f>
        <v>0</v>
      </c>
      <c r="G72" s="54">
        <f>SUM(B72:F72)</f>
        <v>0</v>
      </c>
      <c r="H72" s="14"/>
      <c r="I72" s="21" t="s">
        <v>56</v>
      </c>
      <c r="J72" s="27"/>
      <c r="K72" s="188">
        <f>IF($J$5&gt;1,J72,0)</f>
        <v>0</v>
      </c>
      <c r="L72" s="27">
        <f>IF($J$5&gt;2,K72,0)</f>
        <v>0</v>
      </c>
      <c r="M72" s="27">
        <f>IF($J$5&gt;3,L72,0)</f>
        <v>0</v>
      </c>
      <c r="N72" s="27">
        <f>IF($J$5&gt;4,M72,0)</f>
        <v>0</v>
      </c>
      <c r="O72" s="22"/>
      <c r="P72" s="154"/>
      <c r="Q72" s="154"/>
      <c r="R72" s="1"/>
      <c r="S72" s="1"/>
      <c r="T72" s="1"/>
    </row>
    <row r="73" spans="1:22" outlineLevel="1" x14ac:dyDescent="0.25">
      <c r="A73" s="13"/>
      <c r="B73" s="55"/>
      <c r="C73" s="55"/>
      <c r="D73" s="55"/>
      <c r="E73" s="55"/>
      <c r="F73" s="55"/>
      <c r="G73" s="54"/>
      <c r="H73" s="14"/>
      <c r="I73" s="4"/>
      <c r="J73" s="126"/>
      <c r="K73" s="126"/>
      <c r="L73" s="126"/>
      <c r="M73" s="126"/>
      <c r="N73" s="126"/>
      <c r="O73" s="51" t="s">
        <v>50</v>
      </c>
      <c r="P73" s="154"/>
      <c r="Q73" s="154"/>
      <c r="R73" s="1"/>
      <c r="S73" s="1"/>
      <c r="T73" s="1"/>
    </row>
    <row r="74" spans="1:22" outlineLevel="1" x14ac:dyDescent="0.25">
      <c r="A74" s="23" t="str">
        <f>"TBN, Student Worker ("&amp;J74&amp;")"</f>
        <v>TBN, Student Worker (0)</v>
      </c>
      <c r="B74" s="55"/>
      <c r="C74" s="55"/>
      <c r="D74" s="56"/>
      <c r="E74" s="56"/>
      <c r="F74" s="56"/>
      <c r="G74" s="54"/>
      <c r="H74" s="14"/>
      <c r="I74" s="4" t="s">
        <v>49</v>
      </c>
      <c r="J74" s="25">
        <v>0</v>
      </c>
      <c r="K74" s="126"/>
      <c r="L74" s="126"/>
      <c r="M74" s="126"/>
      <c r="N74" s="126"/>
      <c r="O74" s="108">
        <v>0</v>
      </c>
      <c r="P74" s="154"/>
      <c r="Q74" s="154"/>
      <c r="R74" s="1"/>
      <c r="S74" s="1"/>
      <c r="T74" s="1"/>
    </row>
    <row r="75" spans="1:22" outlineLevel="1" x14ac:dyDescent="0.25">
      <c r="A75" s="13" t="str">
        <f>J75&amp;" hours per student @ $"&amp;O74&amp;"/hour"</f>
        <v xml:space="preserve"> hours per student @ $0/hour</v>
      </c>
      <c r="B75" s="55">
        <f>J74*J75*O74</f>
        <v>0</v>
      </c>
      <c r="C75" s="55">
        <f>IF($J$5&gt;1,$J$74*K75*$O$74*(1+$O$5),0)</f>
        <v>0</v>
      </c>
      <c r="D75" s="55">
        <f>IF($J$5&gt;2,$J$74*L75*$O$74*(1+$O$5)^2,0)</f>
        <v>0</v>
      </c>
      <c r="E75" s="55">
        <f>IF($J$5&gt;3,$J$74*M75*$O$74*(1+$O$5)^3,0)</f>
        <v>0</v>
      </c>
      <c r="F75" s="55">
        <f>IF($J$5&gt;4,$J$74*N75*$O$74*(1+$O$5)^4,0)</f>
        <v>0</v>
      </c>
      <c r="G75" s="54">
        <f>SUM(B75:F75)</f>
        <v>0</v>
      </c>
      <c r="H75" s="14"/>
      <c r="I75" s="21" t="s">
        <v>56</v>
      </c>
      <c r="J75" s="27"/>
      <c r="K75" s="188">
        <f>IF($J$5&gt;1,J75,0)</f>
        <v>0</v>
      </c>
      <c r="L75" s="27">
        <f>IF($J$5&gt;2,K75,0)</f>
        <v>0</v>
      </c>
      <c r="M75" s="27">
        <f>IF($J$5&gt;3,L75,0)</f>
        <v>0</v>
      </c>
      <c r="N75" s="27">
        <f>IF($J$5&gt;4,M75,0)</f>
        <v>0</v>
      </c>
      <c r="O75" s="22"/>
      <c r="P75" s="154"/>
      <c r="Q75" s="154"/>
      <c r="R75" s="1"/>
      <c r="S75" s="1"/>
      <c r="T75" s="1"/>
    </row>
    <row r="76" spans="1:22" outlineLevel="1" x14ac:dyDescent="0.25">
      <c r="A76" s="113" t="s">
        <v>0</v>
      </c>
      <c r="B76" s="61">
        <f>ROUND(SUM(B8:B75),0)</f>
        <v>0</v>
      </c>
      <c r="C76" s="61">
        <f>ROUND(SUM(C8:C75),0)</f>
        <v>0</v>
      </c>
      <c r="D76" s="61">
        <f>ROUND(SUM(D8:D75),0)</f>
        <v>0</v>
      </c>
      <c r="E76" s="61">
        <f>ROUND(SUM(E8:E75),0)</f>
        <v>0</v>
      </c>
      <c r="F76" s="61">
        <f>ROUND(SUM(F8:F75),0)</f>
        <v>0</v>
      </c>
      <c r="G76" s="61">
        <f>SUM(B76:F76)</f>
        <v>0</v>
      </c>
      <c r="H76" s="28"/>
      <c r="R76" s="1"/>
      <c r="S76" s="1"/>
      <c r="T76" s="1"/>
      <c r="V76" s="92"/>
    </row>
    <row r="77" spans="1:22" outlineLevel="1" x14ac:dyDescent="0.25">
      <c r="B77" s="60"/>
      <c r="C77" s="60"/>
      <c r="D77" s="56"/>
      <c r="E77" s="56"/>
      <c r="F77" s="56"/>
      <c r="G77" s="54"/>
      <c r="R77" s="1"/>
      <c r="S77" s="1"/>
      <c r="T77" s="1"/>
      <c r="V77" s="92"/>
    </row>
    <row r="78" spans="1:22" outlineLevel="1" x14ac:dyDescent="0.25">
      <c r="A78" s="115" t="s">
        <v>4</v>
      </c>
      <c r="B78" s="60"/>
      <c r="C78" s="60"/>
      <c r="D78" s="56"/>
      <c r="E78" s="56"/>
      <c r="F78" s="56"/>
      <c r="G78" s="54"/>
      <c r="R78" s="1"/>
      <c r="S78" s="1"/>
      <c r="T78" s="1"/>
      <c r="V78" s="92"/>
    </row>
    <row r="79" spans="1:22" outlineLevel="1" x14ac:dyDescent="0.25">
      <c r="A79" s="104" t="str">
        <f>I79&amp;ROUND(J79*100,2)&amp;"%"</f>
        <v>Employees @ 0%</v>
      </c>
      <c r="B79" s="121">
        <f>SUM(B8:B40)*$J$79</f>
        <v>0</v>
      </c>
      <c r="C79" s="121">
        <f>SUM(C8:C40)*$J$79</f>
        <v>0</v>
      </c>
      <c r="D79" s="121">
        <f>SUM(D8:D40)*$J$79</f>
        <v>0</v>
      </c>
      <c r="E79" s="121">
        <f>SUM(E8:E40)*$J$79</f>
        <v>0</v>
      </c>
      <c r="F79" s="121">
        <f>SUM(F8:F40)*$J$79</f>
        <v>0</v>
      </c>
      <c r="G79" s="62">
        <f>SUM(B79:F79)</f>
        <v>0</v>
      </c>
      <c r="H79" s="3"/>
      <c r="I79" s="150" t="s">
        <v>146</v>
      </c>
      <c r="J79" s="149">
        <v>0</v>
      </c>
      <c r="K79" s="162"/>
      <c r="L79" s="162"/>
      <c r="M79" s="162"/>
      <c r="N79" s="162"/>
      <c r="R79" s="1"/>
      <c r="S79" s="1"/>
      <c r="T79" s="1"/>
      <c r="V79" s="92"/>
    </row>
    <row r="80" spans="1:22" outlineLevel="1" x14ac:dyDescent="0.25">
      <c r="A80" s="104" t="str">
        <f>I80&amp;ROUND(J80*100,2)&amp;"%"</f>
        <v>Post-docs @ 0%</v>
      </c>
      <c r="B80" s="121">
        <f>SUM(B45:B51)*$J$80</f>
        <v>0</v>
      </c>
      <c r="C80" s="121">
        <f>SUM(C45:C51)*$J$80</f>
        <v>0</v>
      </c>
      <c r="D80" s="121">
        <f>SUM(D45:D51)*$J$80</f>
        <v>0</v>
      </c>
      <c r="E80" s="121">
        <f>SUM(E45:E51)*$J$80</f>
        <v>0</v>
      </c>
      <c r="F80" s="121">
        <f>SUM(F45:F51)*$J$80</f>
        <v>0</v>
      </c>
      <c r="G80" s="62">
        <f>SUM(B80:F80)</f>
        <v>0</v>
      </c>
      <c r="H80" s="3"/>
      <c r="I80" s="150" t="s">
        <v>147</v>
      </c>
      <c r="J80" s="149">
        <v>0</v>
      </c>
      <c r="K80" s="162"/>
      <c r="L80" s="162"/>
      <c r="M80" s="162"/>
      <c r="N80" s="162"/>
      <c r="R80" s="1"/>
      <c r="S80" s="1"/>
      <c r="T80" s="1"/>
      <c r="V80" s="92"/>
    </row>
    <row r="81" spans="1:22" outlineLevel="1" x14ac:dyDescent="0.25">
      <c r="A81" s="104" t="str">
        <f>I81&amp;ROUND(J81*100,2)&amp;"%"</f>
        <v>Graduate Assistants @ 0%</v>
      </c>
      <c r="B81" s="121">
        <f>SUM(B54:B66)*$J$81</f>
        <v>0</v>
      </c>
      <c r="C81" s="121">
        <f>SUM(C54:C66)*$J$81</f>
        <v>0</v>
      </c>
      <c r="D81" s="121">
        <f>SUM(D54:D66)*$J$81</f>
        <v>0</v>
      </c>
      <c r="E81" s="121">
        <f>SUM(E54:E66)*$J$81</f>
        <v>0</v>
      </c>
      <c r="F81" s="121">
        <f>SUM(F54:F66)*$J$81</f>
        <v>0</v>
      </c>
      <c r="G81" s="62">
        <f>SUM(B81:F81)</f>
        <v>0</v>
      </c>
      <c r="H81" s="3"/>
      <c r="I81" s="150" t="s">
        <v>144</v>
      </c>
      <c r="J81" s="149">
        <v>0</v>
      </c>
      <c r="K81" s="162"/>
      <c r="L81" s="162"/>
      <c r="M81" s="162"/>
      <c r="N81" s="162"/>
      <c r="R81" s="1"/>
      <c r="S81" s="1"/>
      <c r="T81" s="1"/>
      <c r="V81" s="92"/>
    </row>
    <row r="82" spans="1:22" outlineLevel="1" x14ac:dyDescent="0.25">
      <c r="A82" s="104" t="str">
        <f>I82&amp;ROUND(J82*100,2)&amp;"%"</f>
        <v>Student Workers @0%</v>
      </c>
      <c r="B82" s="121">
        <f>SUM(B69:B75)*$J$82</f>
        <v>0</v>
      </c>
      <c r="C82" s="121">
        <f>SUM(C69:C75)*$J$82</f>
        <v>0</v>
      </c>
      <c r="D82" s="121">
        <f>SUM(D69:D75)*$J$82</f>
        <v>0</v>
      </c>
      <c r="E82" s="121">
        <f>SUM(E69:E75)*$J$82</f>
        <v>0</v>
      </c>
      <c r="F82" s="121">
        <f>SUM(F69:F75)*$J$82</f>
        <v>0</v>
      </c>
      <c r="G82" s="62">
        <f>SUM(B82:F82)</f>
        <v>0</v>
      </c>
      <c r="H82" s="3"/>
      <c r="I82" s="150" t="s">
        <v>140</v>
      </c>
      <c r="J82" s="149">
        <v>0</v>
      </c>
      <c r="K82" s="162"/>
      <c r="L82" s="162"/>
      <c r="M82" s="162"/>
      <c r="N82" s="162"/>
      <c r="R82" s="1"/>
      <c r="S82" s="1"/>
      <c r="T82" s="1"/>
      <c r="V82" s="92"/>
    </row>
    <row r="83" spans="1:22" outlineLevel="1" x14ac:dyDescent="0.25">
      <c r="A83" s="113" t="s">
        <v>1</v>
      </c>
      <c r="B83" s="63">
        <f>ROUND(SUM(B79:B82),0)</f>
        <v>0</v>
      </c>
      <c r="C83" s="63">
        <f>ROUND(SUM(C79:C82),0)</f>
        <v>0</v>
      </c>
      <c r="D83" s="63">
        <f>ROUND(SUM(D79:D82),0)</f>
        <v>0</v>
      </c>
      <c r="E83" s="63">
        <f>ROUND(SUM(E79:E82),0)</f>
        <v>0</v>
      </c>
      <c r="F83" s="63">
        <f>ROUND(SUM(F79:F82),0)</f>
        <v>0</v>
      </c>
      <c r="G83" s="64">
        <f>SUM(B83:F83)</f>
        <v>0</v>
      </c>
      <c r="H83" s="3"/>
      <c r="R83" s="1"/>
      <c r="S83" s="1"/>
      <c r="T83" s="1"/>
      <c r="V83" s="92"/>
    </row>
    <row r="84" spans="1:22" outlineLevel="1" x14ac:dyDescent="0.25">
      <c r="B84" s="56"/>
      <c r="C84" s="56"/>
      <c r="D84" s="56"/>
      <c r="E84" s="56"/>
      <c r="F84" s="56"/>
      <c r="G84" s="54"/>
      <c r="R84" s="1"/>
      <c r="S84" s="1"/>
      <c r="T84" s="1"/>
      <c r="V84" s="92"/>
    </row>
    <row r="85" spans="1:22" outlineLevel="1" x14ac:dyDescent="0.25">
      <c r="A85" s="114" t="s">
        <v>95</v>
      </c>
      <c r="B85" s="65">
        <f>B76+B83</f>
        <v>0</v>
      </c>
      <c r="C85" s="65">
        <f>C76+C83</f>
        <v>0</v>
      </c>
      <c r="D85" s="65">
        <f>D76+D83</f>
        <v>0</v>
      </c>
      <c r="E85" s="65">
        <f>E76+E83</f>
        <v>0</v>
      </c>
      <c r="F85" s="65">
        <f>F76+F83</f>
        <v>0</v>
      </c>
      <c r="G85" s="66">
        <f>SUM(B85:F85)</f>
        <v>0</v>
      </c>
      <c r="H85" s="3"/>
      <c r="R85" s="1"/>
      <c r="S85" s="1"/>
      <c r="T85" s="1"/>
      <c r="V85" s="92"/>
    </row>
    <row r="86" spans="1:22" outlineLevel="1" x14ac:dyDescent="0.25">
      <c r="A86" s="2"/>
      <c r="B86" s="67"/>
      <c r="C86" s="67"/>
      <c r="D86" s="67"/>
      <c r="E86" s="67"/>
      <c r="F86" s="67"/>
      <c r="G86" s="68"/>
      <c r="H86" s="29"/>
      <c r="R86" s="1"/>
      <c r="S86" s="1"/>
      <c r="T86" s="1"/>
      <c r="V86" s="92"/>
    </row>
    <row r="87" spans="1:22" outlineLevel="1" x14ac:dyDescent="0.25">
      <c r="A87" s="112" t="s">
        <v>39</v>
      </c>
      <c r="B87" s="56"/>
      <c r="C87" s="56"/>
      <c r="D87" s="56"/>
      <c r="E87" s="56"/>
      <c r="F87" s="56"/>
      <c r="G87" s="54"/>
      <c r="R87" s="1"/>
      <c r="S87" s="1"/>
      <c r="T87" s="1"/>
      <c r="V87" s="92"/>
    </row>
    <row r="88" spans="1:22" outlineLevel="1" x14ac:dyDescent="0.25">
      <c r="A88" s="85" t="s">
        <v>41</v>
      </c>
      <c r="B88" s="69">
        <v>0</v>
      </c>
      <c r="C88" s="69">
        <v>0</v>
      </c>
      <c r="D88" s="69">
        <v>0</v>
      </c>
      <c r="E88" s="69">
        <v>0</v>
      </c>
      <c r="F88" s="69">
        <v>0</v>
      </c>
      <c r="G88" s="54">
        <f>SUM(B88:F88)</f>
        <v>0</v>
      </c>
      <c r="H88" s="14"/>
      <c r="R88" s="1"/>
      <c r="S88" s="1"/>
      <c r="T88" s="1"/>
      <c r="V88" s="92"/>
    </row>
    <row r="89" spans="1:22" outlineLevel="1" x14ac:dyDescent="0.25">
      <c r="A89" s="85" t="s">
        <v>42</v>
      </c>
      <c r="B89" s="69">
        <v>0</v>
      </c>
      <c r="C89" s="69">
        <v>0</v>
      </c>
      <c r="D89" s="69">
        <v>0</v>
      </c>
      <c r="E89" s="69">
        <v>0</v>
      </c>
      <c r="F89" s="69">
        <v>0</v>
      </c>
      <c r="G89" s="54">
        <f>SUM(B89:F89)</f>
        <v>0</v>
      </c>
      <c r="H89" s="14"/>
      <c r="R89" s="1"/>
      <c r="S89" s="1"/>
      <c r="T89" s="1"/>
      <c r="V89" s="92"/>
    </row>
    <row r="90" spans="1:22" outlineLevel="1" x14ac:dyDescent="0.25">
      <c r="A90" s="85" t="s">
        <v>43</v>
      </c>
      <c r="B90" s="69">
        <v>0</v>
      </c>
      <c r="C90" s="69">
        <v>0</v>
      </c>
      <c r="D90" s="69">
        <v>0</v>
      </c>
      <c r="E90" s="69">
        <v>0</v>
      </c>
      <c r="F90" s="69">
        <v>0</v>
      </c>
      <c r="G90" s="54">
        <f>SUM(B90:F90)</f>
        <v>0</v>
      </c>
      <c r="H90" s="14"/>
      <c r="R90" s="1"/>
      <c r="S90" s="1"/>
      <c r="T90" s="1"/>
      <c r="V90" s="92"/>
    </row>
    <row r="91" spans="1:22" outlineLevel="1" x14ac:dyDescent="0.25">
      <c r="A91" s="113" t="s">
        <v>40</v>
      </c>
      <c r="B91" s="61">
        <f>ROUND(SUM(B88:B90),0)</f>
        <v>0</v>
      </c>
      <c r="C91" s="61">
        <f>ROUND(SUM(C88:C90),0)</f>
        <v>0</v>
      </c>
      <c r="D91" s="61">
        <f>ROUND(SUM(D88:D90),0)</f>
        <v>0</v>
      </c>
      <c r="E91" s="61">
        <f>ROUND(SUM(E88:E90),0)</f>
        <v>0</v>
      </c>
      <c r="F91" s="61">
        <f>ROUND(SUM(F88:F90),0)</f>
        <v>0</v>
      </c>
      <c r="G91" s="61">
        <f>SUM(B91:F91)</f>
        <v>0</v>
      </c>
      <c r="H91" s="28"/>
      <c r="R91" s="1"/>
      <c r="S91" s="1"/>
      <c r="T91" s="1"/>
      <c r="V91" s="92"/>
    </row>
    <row r="92" spans="1:22" outlineLevel="1" x14ac:dyDescent="0.25">
      <c r="B92" s="60"/>
      <c r="C92" s="60"/>
      <c r="D92" s="56"/>
      <c r="E92" s="56"/>
      <c r="F92" s="56"/>
      <c r="G92" s="54"/>
      <c r="R92" s="1"/>
      <c r="S92" s="1"/>
      <c r="T92" s="1"/>
      <c r="V92" s="92"/>
    </row>
    <row r="93" spans="1:22" outlineLevel="1" x14ac:dyDescent="0.25">
      <c r="A93" s="115" t="s">
        <v>11</v>
      </c>
      <c r="B93" s="68"/>
      <c r="C93" s="68"/>
      <c r="D93" s="68"/>
      <c r="E93" s="68"/>
      <c r="F93" s="68"/>
      <c r="G93" s="68"/>
      <c r="H93" s="29"/>
      <c r="R93" s="1"/>
      <c r="S93" s="1"/>
      <c r="T93" s="1"/>
      <c r="V93" s="92"/>
    </row>
    <row r="94" spans="1:22" outlineLevel="1" x14ac:dyDescent="0.25">
      <c r="A94" s="13" t="s">
        <v>98</v>
      </c>
      <c r="B94" s="165">
        <v>0</v>
      </c>
      <c r="C94" s="165">
        <v>0</v>
      </c>
      <c r="D94" s="165">
        <v>0</v>
      </c>
      <c r="E94" s="165">
        <v>0</v>
      </c>
      <c r="F94" s="165">
        <v>0</v>
      </c>
      <c r="G94" s="68">
        <f>SUM(B94:F94)</f>
        <v>0</v>
      </c>
      <c r="H94" s="29"/>
      <c r="R94" s="1"/>
      <c r="S94" s="1"/>
      <c r="T94" s="1"/>
      <c r="V94" s="92"/>
    </row>
    <row r="95" spans="1:22" outlineLevel="1" x14ac:dyDescent="0.25">
      <c r="A95" s="13" t="s">
        <v>99</v>
      </c>
      <c r="B95" s="165">
        <v>0</v>
      </c>
      <c r="C95" s="165">
        <v>0</v>
      </c>
      <c r="D95" s="165">
        <v>0</v>
      </c>
      <c r="E95" s="165">
        <v>0</v>
      </c>
      <c r="F95" s="165">
        <v>0</v>
      </c>
      <c r="G95" s="68">
        <f>SUM(B95:F95)</f>
        <v>0</v>
      </c>
      <c r="H95" s="29"/>
      <c r="R95" s="1"/>
      <c r="S95" s="1"/>
      <c r="T95" s="1"/>
      <c r="V95" s="92"/>
    </row>
    <row r="96" spans="1:22" outlineLevel="1" x14ac:dyDescent="0.25">
      <c r="A96" s="113" t="s">
        <v>12</v>
      </c>
      <c r="B96" s="71">
        <f>ROUND(SUM(B94:B95),0)</f>
        <v>0</v>
      </c>
      <c r="C96" s="71">
        <f>ROUND(SUM(C94:C95),0)</f>
        <v>0</v>
      </c>
      <c r="D96" s="71">
        <f>ROUND(SUM(D94:D95),0)</f>
        <v>0</v>
      </c>
      <c r="E96" s="71">
        <f>ROUND(SUM(E94:E95),0)</f>
        <v>0</v>
      </c>
      <c r="F96" s="71">
        <f>ROUND(SUM(F94:F95),0)</f>
        <v>0</v>
      </c>
      <c r="G96" s="61">
        <f>SUM(B96:F96)</f>
        <v>0</v>
      </c>
      <c r="H96" s="28"/>
      <c r="R96" s="1"/>
      <c r="S96" s="1"/>
      <c r="T96" s="1"/>
      <c r="V96" s="92"/>
    </row>
    <row r="97" spans="1:22" outlineLevel="1" x14ac:dyDescent="0.25">
      <c r="B97" s="56"/>
      <c r="C97" s="56"/>
      <c r="D97" s="56"/>
      <c r="E97" s="56"/>
      <c r="F97" s="56"/>
      <c r="G97" s="54"/>
      <c r="R97" s="1"/>
      <c r="S97" s="1"/>
      <c r="T97" s="1"/>
      <c r="V97" s="92"/>
    </row>
    <row r="98" spans="1:22" outlineLevel="1" x14ac:dyDescent="0.25">
      <c r="A98" s="2" t="s">
        <v>44</v>
      </c>
      <c r="B98" s="56"/>
      <c r="C98" s="56"/>
      <c r="D98" s="56"/>
      <c r="E98" s="56"/>
      <c r="F98" s="56"/>
      <c r="G98" s="54"/>
      <c r="R98" s="1"/>
      <c r="S98" s="1"/>
      <c r="T98" s="1"/>
      <c r="V98" s="92"/>
    </row>
    <row r="99" spans="1:22" outlineLevel="1" x14ac:dyDescent="0.25">
      <c r="A99" s="43" t="s">
        <v>44</v>
      </c>
      <c r="B99" s="74">
        <v>0</v>
      </c>
      <c r="C99" s="74">
        <v>0</v>
      </c>
      <c r="D99" s="74">
        <v>0</v>
      </c>
      <c r="E99" s="74">
        <v>0</v>
      </c>
      <c r="F99" s="74">
        <v>0</v>
      </c>
      <c r="G99" s="62">
        <f>SUM(B99:F99)</f>
        <v>0</v>
      </c>
      <c r="R99" s="1"/>
      <c r="S99" s="1"/>
      <c r="T99" s="1"/>
      <c r="V99" s="92"/>
    </row>
    <row r="100" spans="1:22" x14ac:dyDescent="0.25">
      <c r="A100" s="113" t="s">
        <v>155</v>
      </c>
      <c r="B100" s="71">
        <f>ROUND(SUM(B99),0)</f>
        <v>0</v>
      </c>
      <c r="C100" s="71">
        <f>ROUND(SUM(C99),0)</f>
        <v>0</v>
      </c>
      <c r="D100" s="71">
        <f>ROUND(SUM(D99),0)</f>
        <v>0</v>
      </c>
      <c r="E100" s="71">
        <f>ROUND(SUM(E99),0)</f>
        <v>0</v>
      </c>
      <c r="F100" s="71">
        <f>ROUND(SUM(F99),0)</f>
        <v>0</v>
      </c>
      <c r="G100" s="61">
        <f>SUM(B100:F100)</f>
        <v>0</v>
      </c>
      <c r="H100" s="28"/>
      <c r="P100" s="154"/>
      <c r="Q100" s="154"/>
      <c r="R100" s="1"/>
      <c r="S100" s="1"/>
      <c r="T100" s="1"/>
    </row>
    <row r="101" spans="1:22" outlineLevel="1" x14ac:dyDescent="0.25">
      <c r="B101" s="56"/>
      <c r="C101" s="56"/>
      <c r="D101" s="56"/>
      <c r="E101" s="56"/>
      <c r="F101" s="56"/>
      <c r="G101" s="54"/>
      <c r="R101" s="1"/>
      <c r="S101" s="1"/>
      <c r="T101" s="1"/>
      <c r="V101" s="92"/>
    </row>
    <row r="102" spans="1:22" x14ac:dyDescent="0.25">
      <c r="A102" s="117" t="s">
        <v>33</v>
      </c>
      <c r="B102" s="67"/>
      <c r="C102" s="67"/>
      <c r="D102" s="56"/>
      <c r="E102" s="56"/>
      <c r="F102" s="56"/>
      <c r="G102" s="54"/>
      <c r="R102" s="1"/>
      <c r="S102" s="1"/>
      <c r="T102" s="1"/>
      <c r="V102" s="92"/>
    </row>
    <row r="103" spans="1:22" x14ac:dyDescent="0.25">
      <c r="A103" s="43" t="s">
        <v>31</v>
      </c>
      <c r="B103" s="74">
        <f>SUM(J52,J57,J62)</f>
        <v>0</v>
      </c>
      <c r="C103" s="74">
        <f>SUM(K52,K57,K62)</f>
        <v>0</v>
      </c>
      <c r="D103" s="74">
        <f>SUM(L52,L57,L62)</f>
        <v>0</v>
      </c>
      <c r="E103" s="74">
        <f>SUM(M52,M57,M62)</f>
        <v>0</v>
      </c>
      <c r="F103" s="74">
        <f>SUM(N52,N57,N62)</f>
        <v>0</v>
      </c>
      <c r="G103" s="62">
        <f>SUM(B103:F103)</f>
        <v>0</v>
      </c>
      <c r="R103" s="1"/>
      <c r="S103" s="1"/>
      <c r="T103" s="1"/>
      <c r="V103" s="92"/>
    </row>
    <row r="104" spans="1:22" x14ac:dyDescent="0.25">
      <c r="A104" s="43" t="s">
        <v>97</v>
      </c>
      <c r="B104" s="164">
        <v>0</v>
      </c>
      <c r="C104" s="164">
        <v>0</v>
      </c>
      <c r="D104" s="164">
        <v>0</v>
      </c>
      <c r="E104" s="164">
        <v>0</v>
      </c>
      <c r="F104" s="164">
        <v>0</v>
      </c>
      <c r="G104" s="62">
        <f>SUM(B104:F104)</f>
        <v>0</v>
      </c>
      <c r="H104" s="3"/>
      <c r="R104" s="1"/>
      <c r="S104" s="1"/>
      <c r="T104" s="1"/>
      <c r="V104" s="92"/>
    </row>
    <row r="105" spans="1:22" outlineLevel="1" x14ac:dyDescent="0.25">
      <c r="A105" s="43"/>
      <c r="B105" s="73"/>
      <c r="C105" s="73"/>
      <c r="D105" s="73"/>
      <c r="E105" s="73"/>
      <c r="F105" s="73"/>
      <c r="G105" s="62"/>
      <c r="R105" s="1"/>
      <c r="S105" s="1"/>
      <c r="T105" s="1"/>
      <c r="V105" s="92"/>
    </row>
    <row r="106" spans="1:22" outlineLevel="1" x14ac:dyDescent="0.25">
      <c r="A106" s="84" t="s">
        <v>88</v>
      </c>
      <c r="B106" s="69">
        <v>0</v>
      </c>
      <c r="C106" s="69">
        <v>0</v>
      </c>
      <c r="D106" s="69">
        <v>0</v>
      </c>
      <c r="E106" s="69">
        <v>0</v>
      </c>
      <c r="F106" s="69">
        <v>0</v>
      </c>
      <c r="G106" s="54">
        <f t="shared" ref="G106:G112" si="0">SUM(B106:F106)</f>
        <v>0</v>
      </c>
      <c r="H106" s="14"/>
      <c r="R106" s="1"/>
      <c r="S106" s="1"/>
      <c r="T106" s="1"/>
      <c r="V106" s="92"/>
    </row>
    <row r="107" spans="1:22" outlineLevel="1" x14ac:dyDescent="0.25">
      <c r="A107" s="84" t="s">
        <v>89</v>
      </c>
      <c r="B107" s="69">
        <v>0</v>
      </c>
      <c r="C107" s="69">
        <v>0</v>
      </c>
      <c r="D107" s="69">
        <v>0</v>
      </c>
      <c r="E107" s="69">
        <v>0</v>
      </c>
      <c r="F107" s="69">
        <v>0</v>
      </c>
      <c r="G107" s="54">
        <f t="shared" si="0"/>
        <v>0</v>
      </c>
      <c r="H107" s="14"/>
      <c r="R107" s="1"/>
      <c r="S107" s="1"/>
      <c r="T107" s="1"/>
      <c r="V107" s="92"/>
    </row>
    <row r="108" spans="1:22" x14ac:dyDescent="0.25">
      <c r="A108" s="84" t="s">
        <v>90</v>
      </c>
      <c r="B108" s="69">
        <v>0</v>
      </c>
      <c r="C108" s="69">
        <v>0</v>
      </c>
      <c r="D108" s="69">
        <v>0</v>
      </c>
      <c r="E108" s="69">
        <v>0</v>
      </c>
      <c r="F108" s="69">
        <v>0</v>
      </c>
      <c r="G108" s="54">
        <f t="shared" si="0"/>
        <v>0</v>
      </c>
      <c r="H108" s="14"/>
      <c r="R108" s="1"/>
      <c r="S108" s="1"/>
      <c r="T108" s="1"/>
      <c r="V108" s="92"/>
    </row>
    <row r="109" spans="1:22" x14ac:dyDescent="0.25">
      <c r="A109" s="84" t="s">
        <v>91</v>
      </c>
      <c r="B109" s="69">
        <v>0</v>
      </c>
      <c r="C109" s="69">
        <v>0</v>
      </c>
      <c r="D109" s="69">
        <v>0</v>
      </c>
      <c r="E109" s="69">
        <v>0</v>
      </c>
      <c r="F109" s="69">
        <v>0</v>
      </c>
      <c r="G109" s="54">
        <f t="shared" si="0"/>
        <v>0</v>
      </c>
      <c r="H109" s="14"/>
      <c r="R109" s="1"/>
      <c r="S109" s="1"/>
      <c r="T109" s="1"/>
      <c r="V109" s="92"/>
    </row>
    <row r="110" spans="1:22" x14ac:dyDescent="0.25">
      <c r="A110" s="84" t="s">
        <v>102</v>
      </c>
      <c r="B110" s="69">
        <v>0</v>
      </c>
      <c r="C110" s="69">
        <v>0</v>
      </c>
      <c r="D110" s="69">
        <v>0</v>
      </c>
      <c r="E110" s="69">
        <v>0</v>
      </c>
      <c r="F110" s="69">
        <v>0</v>
      </c>
      <c r="G110" s="54">
        <f t="shared" si="0"/>
        <v>0</v>
      </c>
      <c r="H110" s="14"/>
      <c r="R110" s="1"/>
      <c r="S110" s="1"/>
      <c r="T110" s="1"/>
      <c r="V110" s="92"/>
    </row>
    <row r="111" spans="1:22" outlineLevel="1" x14ac:dyDescent="0.25">
      <c r="A111" s="186" t="s">
        <v>103</v>
      </c>
      <c r="B111" s="69">
        <v>0</v>
      </c>
      <c r="C111" s="69">
        <v>0</v>
      </c>
      <c r="D111" s="69">
        <v>0</v>
      </c>
      <c r="E111" s="69">
        <v>0</v>
      </c>
      <c r="F111" s="69">
        <v>0</v>
      </c>
      <c r="G111" s="54">
        <f t="shared" si="0"/>
        <v>0</v>
      </c>
      <c r="H111" s="14"/>
      <c r="R111" s="1"/>
      <c r="S111" s="1"/>
      <c r="T111" s="1"/>
      <c r="V111" s="92"/>
    </row>
    <row r="112" spans="1:22" outlineLevel="1" x14ac:dyDescent="0.25">
      <c r="A112" s="118" t="s">
        <v>87</v>
      </c>
      <c r="B112" s="58">
        <f>SUM(B106:B111)</f>
        <v>0</v>
      </c>
      <c r="C112" s="58">
        <f>SUM(C106:C111)</f>
        <v>0</v>
      </c>
      <c r="D112" s="58">
        <f>SUM(D106:D111)</f>
        <v>0</v>
      </c>
      <c r="E112" s="58">
        <f>SUM(E106:E111)</f>
        <v>0</v>
      </c>
      <c r="F112" s="58">
        <f>SUM(F106:F111)</f>
        <v>0</v>
      </c>
      <c r="G112" s="59">
        <f t="shared" si="0"/>
        <v>0</v>
      </c>
      <c r="H112" s="28"/>
      <c r="R112" s="1"/>
      <c r="S112" s="1"/>
      <c r="T112" s="1"/>
      <c r="V112" s="92"/>
    </row>
    <row r="113" spans="1:22" x14ac:dyDescent="0.25">
      <c r="A113" s="44"/>
      <c r="B113" s="75"/>
      <c r="C113" s="75"/>
      <c r="D113" s="75"/>
      <c r="E113" s="75"/>
      <c r="F113" s="75"/>
      <c r="G113" s="75"/>
      <c r="H113" s="28"/>
      <c r="R113" s="1"/>
      <c r="S113" s="1"/>
      <c r="T113" s="1"/>
      <c r="V113" s="92"/>
    </row>
    <row r="114" spans="1:22" x14ac:dyDescent="0.25">
      <c r="A114" s="119" t="s">
        <v>38</v>
      </c>
      <c r="B114" s="71">
        <f>ROUND(SUM(B103:B104,B112),0)</f>
        <v>0</v>
      </c>
      <c r="C114" s="71">
        <f>ROUND(SUM(C103:C104,C112),0)</f>
        <v>0</v>
      </c>
      <c r="D114" s="71">
        <f>ROUND(SUM(D103:D104,D112),0)</f>
        <v>0</v>
      </c>
      <c r="E114" s="71">
        <f>ROUND(SUM(E103:E104,E112),0)</f>
        <v>0</v>
      </c>
      <c r="F114" s="71">
        <f>ROUND(SUM(F103:F104,F112),0)</f>
        <v>0</v>
      </c>
      <c r="G114" s="61">
        <f>SUM(B114:F114)</f>
        <v>0</v>
      </c>
      <c r="H114" s="28"/>
      <c r="R114" s="1"/>
      <c r="S114" s="1"/>
      <c r="T114" s="1"/>
      <c r="V114" s="92"/>
    </row>
    <row r="115" spans="1:22" x14ac:dyDescent="0.25">
      <c r="A115" s="45"/>
      <c r="B115" s="76"/>
      <c r="C115" s="76"/>
      <c r="D115" s="77"/>
      <c r="E115" s="77"/>
      <c r="F115" s="77"/>
      <c r="G115" s="62"/>
      <c r="R115" s="1"/>
      <c r="S115" s="1"/>
      <c r="T115" s="1"/>
      <c r="V115" s="92"/>
    </row>
    <row r="116" spans="1:22" outlineLevel="1" x14ac:dyDescent="0.25">
      <c r="A116" s="120" t="s">
        <v>92</v>
      </c>
      <c r="B116" s="110">
        <f>B118-B107-B109-B111</f>
        <v>0</v>
      </c>
      <c r="C116" s="110">
        <f>C118-C107-C109-C111</f>
        <v>0</v>
      </c>
      <c r="D116" s="110">
        <f>D118-D107-D109-D111</f>
        <v>0</v>
      </c>
      <c r="E116" s="110">
        <f>E118-E107-E109-E111</f>
        <v>0</v>
      </c>
      <c r="F116" s="110">
        <f>F118-F107-F109-F111</f>
        <v>0</v>
      </c>
      <c r="G116" s="111">
        <f>SUM(B116:F116)</f>
        <v>0</v>
      </c>
      <c r="R116" s="1"/>
      <c r="S116" s="1"/>
      <c r="T116" s="1"/>
      <c r="V116" s="92"/>
    </row>
    <row r="117" spans="1:22" outlineLevel="1" x14ac:dyDescent="0.25">
      <c r="A117" s="45"/>
      <c r="B117" s="76"/>
      <c r="C117" s="76"/>
      <c r="D117" s="77"/>
      <c r="E117" s="77"/>
      <c r="F117" s="77"/>
      <c r="G117" s="62"/>
      <c r="R117" s="1"/>
      <c r="S117" s="1"/>
      <c r="T117" s="1"/>
      <c r="V117" s="92"/>
    </row>
    <row r="118" spans="1:22" outlineLevel="1" x14ac:dyDescent="0.25">
      <c r="A118" s="117" t="s">
        <v>2</v>
      </c>
      <c r="B118" s="78">
        <f>SUM(B85,B91,B96,B100,B114)</f>
        <v>0</v>
      </c>
      <c r="C118" s="78">
        <f>SUM(C85,C91,C96,C100,C114)</f>
        <v>0</v>
      </c>
      <c r="D118" s="78">
        <f>SUM(D85,D91,D96,D100,D114)</f>
        <v>0</v>
      </c>
      <c r="E118" s="78">
        <f>SUM(E85,E91,E96,E100,E114)</f>
        <v>0</v>
      </c>
      <c r="F118" s="78">
        <f>SUM(F85,F91,F96,F100,F114)</f>
        <v>0</v>
      </c>
      <c r="G118" s="62">
        <f t="shared" ref="G118:G123" si="1">SUM(B118:F118)</f>
        <v>0</v>
      </c>
      <c r="H118" s="3"/>
      <c r="R118" s="1"/>
      <c r="S118" s="1"/>
      <c r="T118" s="1"/>
      <c r="V118" s="92"/>
    </row>
    <row r="119" spans="1:22" outlineLevel="1" x14ac:dyDescent="0.25">
      <c r="A119" s="43" t="s">
        <v>45</v>
      </c>
      <c r="B119" s="93">
        <f>-B91</f>
        <v>0</v>
      </c>
      <c r="C119" s="93">
        <f>-C91</f>
        <v>0</v>
      </c>
      <c r="D119" s="93">
        <f>-D91</f>
        <v>0</v>
      </c>
      <c r="E119" s="93">
        <f>-E91</f>
        <v>0</v>
      </c>
      <c r="F119" s="93">
        <f>-F91</f>
        <v>0</v>
      </c>
      <c r="G119" s="62">
        <f t="shared" si="1"/>
        <v>0</v>
      </c>
      <c r="H119" s="3"/>
      <c r="R119" s="1"/>
      <c r="S119" s="1"/>
      <c r="T119" s="1"/>
      <c r="V119" s="92"/>
    </row>
    <row r="120" spans="1:22" outlineLevel="1" x14ac:dyDescent="0.25">
      <c r="A120" s="104" t="s">
        <v>32</v>
      </c>
      <c r="B120" s="93">
        <f>-B103</f>
        <v>0</v>
      </c>
      <c r="C120" s="93">
        <f>-C103</f>
        <v>0</v>
      </c>
      <c r="D120" s="93">
        <f>-D103</f>
        <v>0</v>
      </c>
      <c r="E120" s="78">
        <f>-E103</f>
        <v>0</v>
      </c>
      <c r="F120" s="78">
        <f>-F103</f>
        <v>0</v>
      </c>
      <c r="G120" s="62">
        <f t="shared" si="1"/>
        <v>0</v>
      </c>
      <c r="H120" s="3"/>
      <c r="R120" s="1"/>
      <c r="S120" s="1"/>
      <c r="T120" s="1"/>
      <c r="V120" s="92"/>
    </row>
    <row r="121" spans="1:22" outlineLevel="1" x14ac:dyDescent="0.25">
      <c r="A121" s="104" t="s">
        <v>47</v>
      </c>
      <c r="B121" s="109">
        <f>-B100</f>
        <v>0</v>
      </c>
      <c r="C121" s="109">
        <f>-C100</f>
        <v>0</v>
      </c>
      <c r="D121" s="109">
        <f>-D100</f>
        <v>0</v>
      </c>
      <c r="E121" s="109">
        <f>-E100</f>
        <v>0</v>
      </c>
      <c r="F121" s="109">
        <f>-F100</f>
        <v>0</v>
      </c>
      <c r="G121" s="62">
        <f t="shared" si="1"/>
        <v>0</v>
      </c>
      <c r="H121" s="3"/>
      <c r="R121" s="1"/>
      <c r="S121" s="1"/>
      <c r="T121" s="1"/>
      <c r="V121" s="92"/>
    </row>
    <row r="122" spans="1:22" outlineLevel="1" x14ac:dyDescent="0.25">
      <c r="A122" s="104" t="s">
        <v>46</v>
      </c>
      <c r="B122" s="79">
        <v>0</v>
      </c>
      <c r="C122" s="79">
        <v>0</v>
      </c>
      <c r="D122" s="79">
        <v>0</v>
      </c>
      <c r="E122" s="79">
        <v>0</v>
      </c>
      <c r="F122" s="79">
        <v>0</v>
      </c>
      <c r="G122" s="54">
        <f t="shared" si="1"/>
        <v>0</v>
      </c>
      <c r="H122" s="3"/>
      <c r="R122" s="1"/>
      <c r="S122" s="1"/>
      <c r="T122" s="1"/>
      <c r="V122" s="92"/>
    </row>
    <row r="123" spans="1:22" x14ac:dyDescent="0.25">
      <c r="A123" s="113" t="s">
        <v>13</v>
      </c>
      <c r="B123" s="61">
        <f>ROUND(SUM(B118:B122),0)</f>
        <v>0</v>
      </c>
      <c r="C123" s="61">
        <f>ROUND(SUM(C118:C122),0)</f>
        <v>0</v>
      </c>
      <c r="D123" s="61">
        <f>ROUND(SUM(D118:D122),0)</f>
        <v>0</v>
      </c>
      <c r="E123" s="61">
        <f>ROUND(SUM(E118:E122),0)</f>
        <v>0</v>
      </c>
      <c r="F123" s="61">
        <f>ROUND(SUM(F118:F122),0)</f>
        <v>0</v>
      </c>
      <c r="G123" s="59">
        <f t="shared" si="1"/>
        <v>0</v>
      </c>
      <c r="H123" s="3"/>
      <c r="P123" s="161" t="s">
        <v>130</v>
      </c>
      <c r="Q123" s="161" t="s">
        <v>129</v>
      </c>
      <c r="R123" s="1"/>
      <c r="S123" s="1"/>
      <c r="T123" s="1"/>
      <c r="V123" s="92"/>
    </row>
    <row r="124" spans="1:22" x14ac:dyDescent="0.25">
      <c r="A124" s="30"/>
      <c r="B124" s="80"/>
      <c r="C124" s="80"/>
      <c r="D124" s="56"/>
      <c r="E124" s="56"/>
      <c r="F124" s="56"/>
      <c r="G124" s="54"/>
      <c r="P124" s="158"/>
      <c r="Q124" s="154" t="s">
        <v>120</v>
      </c>
      <c r="R124" s="1"/>
      <c r="S124" s="1"/>
      <c r="T124" s="1"/>
      <c r="V124" s="92"/>
    </row>
    <row r="125" spans="1:22" x14ac:dyDescent="0.25">
      <c r="A125" s="115" t="s">
        <v>30</v>
      </c>
      <c r="B125" s="80"/>
      <c r="C125" s="80"/>
      <c r="D125" s="56"/>
      <c r="E125" s="56"/>
      <c r="F125" s="56"/>
      <c r="G125" s="54"/>
      <c r="I125" s="161" t="s">
        <v>119</v>
      </c>
      <c r="J125" s="151" t="s">
        <v>121</v>
      </c>
      <c r="P125" s="154"/>
      <c r="Q125" s="154" t="s">
        <v>131</v>
      </c>
      <c r="R125" s="1"/>
      <c r="S125" s="1"/>
      <c r="T125" s="1"/>
      <c r="V125" s="92"/>
    </row>
    <row r="126" spans="1:22" x14ac:dyDescent="0.25">
      <c r="A126" s="104" t="str">
        <f>IF(J126="TC","F&amp;A Costs @ "&amp;ROUND(I126/(1-I126),4)*100&amp;"% TDC or " &amp;I126*100&amp;"% TC", "F&amp;A Costs @ "&amp;I126*100&amp;"% "&amp;J126)</f>
        <v>F&amp;A Costs @ 0% MTDC</v>
      </c>
      <c r="B126" s="56">
        <f>IF($J$126="MTDC",(B123*$I$126),IF($J$126="TDC",(B118*$I$126),IF($J$126="TC",(B118*($I$126/(1-$I$126))))))</f>
        <v>0</v>
      </c>
      <c r="C126" s="56">
        <f>IF($J$126="MTDC",(C123*$I$126),IF($J$126="TDC",(C118*$I$126),IF($J$126="TC",(C118*($I$126/(1-$I$126))))))</f>
        <v>0</v>
      </c>
      <c r="D126" s="56">
        <f>IF($J$126="MTDC",(D123*$I$126),IF($J$126="TDC",(D118*$I$126),IF($J$126="TC",(D118*($I$126/(1-$I$126))))))</f>
        <v>0</v>
      </c>
      <c r="E126" s="56">
        <f>IF($J$126="MTDC",(E123*$I$126),IF($J$126="TDC",(E118*$I$126),IF($J$126="TC",(E118*($I$126/(1-$I$126))))))</f>
        <v>0</v>
      </c>
      <c r="F126" s="56">
        <f>IF($J$126="MTDC",(F123*$I$126),IF($J$126="TDC",(F118*$I$126),IF($J$126="TC",(F118*($I$126/(1-$I$126))))))</f>
        <v>0</v>
      </c>
      <c r="G126" s="54">
        <f>SUM(B126:F126)</f>
        <v>0</v>
      </c>
      <c r="H126" s="3"/>
      <c r="I126" s="149">
        <v>0</v>
      </c>
      <c r="J126" s="150" t="s">
        <v>120</v>
      </c>
      <c r="P126" s="154"/>
      <c r="Q126" s="154" t="s">
        <v>132</v>
      </c>
      <c r="R126" s="1"/>
      <c r="S126" s="1"/>
      <c r="T126" s="1"/>
      <c r="V126" s="92"/>
    </row>
    <row r="127" spans="1:22" x14ac:dyDescent="0.25">
      <c r="A127" s="113" t="s">
        <v>53</v>
      </c>
      <c r="B127" s="61">
        <f>ROUND(SUM(B126:B126),0)</f>
        <v>0</v>
      </c>
      <c r="C127" s="61">
        <f>ROUND(SUM(C126:C126),0)</f>
        <v>0</v>
      </c>
      <c r="D127" s="61">
        <f>ROUND(SUM(D126:D126),0)</f>
        <v>0</v>
      </c>
      <c r="E127" s="61">
        <f>ROUND(SUM(E126:E126),0)</f>
        <v>0</v>
      </c>
      <c r="F127" s="61">
        <f>ROUND(SUM(F126:F126),0)</f>
        <v>0</v>
      </c>
      <c r="G127" s="59">
        <f>SUM(B127:F127)</f>
        <v>0</v>
      </c>
      <c r="H127" s="3"/>
      <c r="R127" s="1"/>
      <c r="S127" s="1"/>
      <c r="T127" s="1"/>
      <c r="V127" s="92"/>
    </row>
    <row r="128" spans="1:22" x14ac:dyDescent="0.25">
      <c r="A128" s="13"/>
      <c r="B128" s="56"/>
      <c r="C128" s="56"/>
      <c r="D128" s="56"/>
      <c r="E128" s="56"/>
      <c r="F128" s="56"/>
      <c r="G128" s="54"/>
      <c r="I128" s="160"/>
      <c r="R128" s="1"/>
      <c r="S128" s="1"/>
      <c r="T128" s="1"/>
      <c r="V128" s="92"/>
    </row>
    <row r="129" spans="1:22" x14ac:dyDescent="0.25">
      <c r="A129" s="114" t="s">
        <v>96</v>
      </c>
      <c r="B129" s="66">
        <f>B118+B127</f>
        <v>0</v>
      </c>
      <c r="C129" s="66">
        <f>C118+C127</f>
        <v>0</v>
      </c>
      <c r="D129" s="66">
        <f>D118+D127</f>
        <v>0</v>
      </c>
      <c r="E129" s="66">
        <f>E118+E127</f>
        <v>0</v>
      </c>
      <c r="F129" s="66">
        <f>F118+F127</f>
        <v>0</v>
      </c>
      <c r="G129" s="66">
        <f>SUM(B129:F129)</f>
        <v>0</v>
      </c>
      <c r="H129" s="3"/>
      <c r="R129" s="1"/>
      <c r="S129" s="1"/>
      <c r="T129" s="1"/>
      <c r="V129" s="92"/>
    </row>
    <row r="130" spans="1:22" ht="16.5" thickBot="1" x14ac:dyDescent="0.3">
      <c r="R130" s="1"/>
      <c r="S130" s="1"/>
      <c r="T130" s="1"/>
      <c r="V130" s="92"/>
    </row>
    <row r="131" spans="1:22" ht="45" customHeight="1" thickBot="1" x14ac:dyDescent="0.3">
      <c r="A131" s="459" t="s">
        <v>57</v>
      </c>
      <c r="B131" s="460"/>
      <c r="C131" s="460"/>
      <c r="D131" s="460"/>
      <c r="E131" s="460"/>
      <c r="F131" s="460"/>
      <c r="G131" s="461"/>
    </row>
    <row r="134" spans="1:22" x14ac:dyDescent="0.25">
      <c r="A134" s="31"/>
    </row>
  </sheetData>
  <sheetProtection formatCells="0" formatColumns="0" formatRows="0" insertRows="0" deleteColumns="0" deleteRows="0" selectLockedCells="1" sort="0"/>
  <mergeCells count="13">
    <mergeCell ref="A2:G2"/>
    <mergeCell ref="I1:O1"/>
    <mergeCell ref="A4:G4"/>
    <mergeCell ref="A131:G131"/>
    <mergeCell ref="A9:A10"/>
    <mergeCell ref="A15:A16"/>
    <mergeCell ref="A21:A22"/>
    <mergeCell ref="A27:A28"/>
    <mergeCell ref="A33:A34"/>
    <mergeCell ref="A39:A40"/>
    <mergeCell ref="A55:A56"/>
    <mergeCell ref="A60:A61"/>
    <mergeCell ref="A65:A66"/>
  </mergeCells>
  <dataValidations disablePrompts="1" count="2">
    <dataValidation type="list" allowBlank="1" showInputMessage="1" showErrorMessage="1" sqref="U11 U17 U23 U29 U35 U41 U63 U58 U53" xr:uid="{00000000-0002-0000-0900-000000000000}">
      <formula1>$R$3:$R$4</formula1>
    </dataValidation>
    <dataValidation type="list" allowBlank="1" showInputMessage="1" showErrorMessage="1" sqref="J126" xr:uid="{00000000-0002-0000-0900-000001000000}">
      <formula1>$Q$124:$Q$126</formula1>
    </dataValidation>
  </dataValidations>
  <printOptions horizontalCentered="1"/>
  <pageMargins left="0.5" right="0.5" top="0.5" bottom="0.5" header="0.25" footer="0.25"/>
  <pageSetup scale="34" orientation="portrait"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134"/>
  <sheetViews>
    <sheetView zoomScale="80" zoomScaleNormal="80" workbookViewId="0">
      <pane ySplit="5" topLeftCell="A6" activePane="bottomLeft" state="frozen"/>
      <selection activeCell="O39" sqref="O39"/>
      <selection pane="bottomLeft"/>
    </sheetView>
  </sheetViews>
  <sheetFormatPr defaultColWidth="8.7109375" defaultRowHeight="15.75" outlineLevelRow="1" x14ac:dyDescent="0.25"/>
  <cols>
    <col min="1" max="1" width="55.7109375" style="12" customWidth="1"/>
    <col min="2" max="6" width="13.7109375" style="12" customWidth="1"/>
    <col min="7" max="7" width="14.7109375" style="189" customWidth="1"/>
    <col min="8" max="8" width="2.7109375" style="189" customWidth="1"/>
    <col min="9" max="9" width="33" style="12" customWidth="1"/>
    <col min="10" max="14" width="11.7109375" style="12" customWidth="1"/>
    <col min="15" max="15" width="14.42578125" style="1" bestFit="1" customWidth="1"/>
    <col min="16" max="16" width="6.28515625" style="12" hidden="1" customWidth="1"/>
    <col min="17" max="17" width="8.7109375" style="12" hidden="1" customWidth="1"/>
    <col min="18" max="18" width="8.7109375" style="94" hidden="1" customWidth="1"/>
    <col min="19" max="19" width="3.42578125" style="94" customWidth="1"/>
    <col min="20" max="20" width="28.42578125" style="94" bestFit="1" customWidth="1"/>
    <col min="21" max="21" width="12.7109375" style="12" customWidth="1"/>
    <col min="22" max="22" width="12" style="12" bestFit="1" customWidth="1"/>
    <col min="23" max="16384" width="8.7109375" style="12"/>
  </cols>
  <sheetData>
    <row r="1" spans="1:23" s="189" customFormat="1" ht="40.35" customHeight="1" x14ac:dyDescent="0.3">
      <c r="A1" s="48"/>
      <c r="B1" s="12"/>
      <c r="G1" s="190"/>
      <c r="I1" s="496" t="s">
        <v>18</v>
      </c>
      <c r="J1" s="497"/>
      <c r="K1" s="497"/>
      <c r="L1" s="497"/>
      <c r="M1" s="497"/>
      <c r="N1" s="497"/>
      <c r="O1" s="498"/>
      <c r="U1" s="191"/>
      <c r="V1" s="191"/>
    </row>
    <row r="2" spans="1:23" s="189" customFormat="1" x14ac:dyDescent="0.25">
      <c r="A2" s="499" t="s">
        <v>165</v>
      </c>
      <c r="B2" s="499"/>
      <c r="C2" s="499"/>
      <c r="D2" s="499"/>
      <c r="E2" s="499"/>
      <c r="F2" s="499"/>
      <c r="G2" s="499"/>
      <c r="I2" s="32"/>
      <c r="J2" s="192" t="s">
        <v>28</v>
      </c>
      <c r="K2" s="192"/>
      <c r="L2" s="192"/>
      <c r="M2" s="192"/>
      <c r="N2" s="192"/>
      <c r="O2" s="51" t="s">
        <v>29</v>
      </c>
      <c r="P2" s="12">
        <f>IF(MONTH(J3)&gt;6, 12+7-MONTH(J3), 7-MONTH(J3))</f>
        <v>12</v>
      </c>
      <c r="R2" s="189" t="s">
        <v>125</v>
      </c>
      <c r="T2" s="193" t="s">
        <v>152</v>
      </c>
      <c r="U2" s="194">
        <f>Budget!U1</f>
        <v>0</v>
      </c>
    </row>
    <row r="3" spans="1:23" x14ac:dyDescent="0.25">
      <c r="A3" s="195" t="str">
        <f>"Period of Performance: "&amp;TEXT(J3, "mm/dd/yy")&amp;" - "&amp;TEXT(O3, "mm/dd/yy")&amp;" ["&amp;ROUND(J5,2)&amp; " Year(s)]"</f>
        <v>Period of Performance: 07/01/24 - 01/00/00 [124.5 Year(s)]</v>
      </c>
      <c r="B3" s="196"/>
      <c r="C3" s="196"/>
      <c r="D3" s="196"/>
      <c r="E3" s="196"/>
      <c r="F3" s="196"/>
      <c r="G3" s="195"/>
      <c r="I3" s="197" t="s">
        <v>52</v>
      </c>
      <c r="J3" s="39">
        <f>Budget!J4</f>
        <v>45474</v>
      </c>
      <c r="K3" s="39"/>
      <c r="L3" s="39"/>
      <c r="M3" s="39"/>
      <c r="N3" s="39"/>
      <c r="O3" s="40">
        <f>Budget!O4</f>
        <v>0</v>
      </c>
      <c r="P3" s="12">
        <f>IF(DAY(J3)&gt;1,(P2-1+((DAY(DATE(YEAR(J3),MONTH(J3)+1,0))-DAY(J3))/DAY(DATE(YEAR(J3),MONTH(J3)+1,0)))),P2)</f>
        <v>12</v>
      </c>
      <c r="R3" s="12" t="s">
        <v>123</v>
      </c>
      <c r="S3" s="12"/>
      <c r="T3" s="161" t="s">
        <v>148</v>
      </c>
      <c r="U3" s="252"/>
      <c r="V3" s="253"/>
      <c r="W3" s="184" t="s">
        <v>161</v>
      </c>
    </row>
    <row r="4" spans="1:23" x14ac:dyDescent="0.25">
      <c r="A4" s="500" t="s">
        <v>150</v>
      </c>
      <c r="B4" s="500"/>
      <c r="C4" s="500"/>
      <c r="D4" s="500"/>
      <c r="E4" s="500"/>
      <c r="F4" s="500"/>
      <c r="G4" s="500"/>
      <c r="I4" s="198"/>
      <c r="J4" s="191" t="s">
        <v>80</v>
      </c>
      <c r="K4" s="191"/>
      <c r="L4" s="191"/>
      <c r="M4" s="191"/>
      <c r="N4" s="191"/>
      <c r="O4" s="49" t="s">
        <v>14</v>
      </c>
      <c r="P4" s="12">
        <f>IF(O3-J3&lt;366, P3/((YEAR(O3)-YEAR(J3))*12+MONTH(O3)-MONTH(J3)+1),0)</f>
        <v>-8.0375083724045539E-3</v>
      </c>
      <c r="R4" s="12" t="s">
        <v>124</v>
      </c>
      <c r="S4" s="12"/>
      <c r="T4" s="191" t="s">
        <v>81</v>
      </c>
      <c r="U4" s="191" t="s">
        <v>82</v>
      </c>
      <c r="V4" s="191" t="s">
        <v>86</v>
      </c>
    </row>
    <row r="5" spans="1:23" s="191" customFormat="1" x14ac:dyDescent="0.25">
      <c r="B5" s="199" t="s">
        <v>6</v>
      </c>
      <c r="C5" s="200" t="s">
        <v>5</v>
      </c>
      <c r="D5" s="200" t="s">
        <v>7</v>
      </c>
      <c r="E5" s="200" t="s">
        <v>8</v>
      </c>
      <c r="F5" s="200" t="s">
        <v>9</v>
      </c>
      <c r="G5" s="200" t="s">
        <v>10</v>
      </c>
      <c r="I5" s="201"/>
      <c r="J5" s="202">
        <f>YEARFRAC(J3, O3)</f>
        <v>124.50277777777778</v>
      </c>
      <c r="K5" s="202"/>
      <c r="L5" s="202"/>
      <c r="M5" s="202"/>
      <c r="N5" s="202"/>
      <c r="O5" s="41">
        <v>0</v>
      </c>
      <c r="T5" s="191" t="s">
        <v>51</v>
      </c>
      <c r="U5" s="191" t="s">
        <v>83</v>
      </c>
      <c r="V5" s="191" t="s">
        <v>122</v>
      </c>
    </row>
    <row r="6" spans="1:23" s="189" customFormat="1" x14ac:dyDescent="0.25">
      <c r="A6" s="195" t="s">
        <v>3</v>
      </c>
      <c r="B6" s="203"/>
      <c r="C6" s="203"/>
      <c r="D6" s="203"/>
      <c r="E6" s="203"/>
      <c r="F6" s="203"/>
      <c r="G6" s="203"/>
      <c r="I6" s="198"/>
      <c r="J6" s="191" t="s">
        <v>6</v>
      </c>
      <c r="K6" s="191" t="s">
        <v>5</v>
      </c>
      <c r="L6" s="191" t="s">
        <v>7</v>
      </c>
      <c r="M6" s="191" t="s">
        <v>8</v>
      </c>
      <c r="N6" s="191" t="s">
        <v>9</v>
      </c>
      <c r="O6" s="10"/>
      <c r="T6" s="204"/>
      <c r="U6" s="191"/>
      <c r="V6" s="191"/>
    </row>
    <row r="7" spans="1:23" outlineLevel="1" x14ac:dyDescent="0.25">
      <c r="A7" s="205" t="s">
        <v>84</v>
      </c>
      <c r="B7" s="55"/>
      <c r="C7" s="206"/>
      <c r="D7" s="206"/>
      <c r="E7" s="206"/>
      <c r="F7" s="206"/>
      <c r="G7" s="203"/>
      <c r="I7" s="207" t="s">
        <v>128</v>
      </c>
      <c r="J7" s="191">
        <f>IF(U11="F",J8*12,SUM(J9*9,J10))</f>
        <v>0</v>
      </c>
      <c r="K7" s="191">
        <f>IF(U11="F",K8*12,SUM(K9*9,K10))</f>
        <v>0</v>
      </c>
      <c r="L7" s="191">
        <f>IF(U11="F",L8*12,SUM(L9*9,L10))</f>
        <v>0</v>
      </c>
      <c r="M7" s="191">
        <f>IF(U11="F",M8*12,SUM(M9*9,M10))</f>
        <v>0</v>
      </c>
      <c r="N7" s="191">
        <f>IF(U11="F",N8*12,SUM(N9*9,N10))</f>
        <v>0</v>
      </c>
      <c r="O7" s="49" t="s">
        <v>51</v>
      </c>
      <c r="P7" s="153" t="s">
        <v>126</v>
      </c>
      <c r="Q7" s="153" t="s">
        <v>127</v>
      </c>
      <c r="R7" s="11"/>
      <c r="S7" s="12"/>
      <c r="T7" s="208"/>
      <c r="U7" s="94"/>
      <c r="V7" s="94"/>
    </row>
    <row r="8" spans="1:23" outlineLevel="1" x14ac:dyDescent="0.25">
      <c r="A8" s="209" t="str">
        <f>ROUND(P8*100, 2)&amp;"% Avg. Fiscal Effort, "&amp;ROUND(Q8, 2)&amp;" Avg. Calendar Months"</f>
        <v>0% Avg. Fiscal Effort, 0 Avg. Calendar Months</v>
      </c>
      <c r="B8" s="55">
        <f>O8*J8</f>
        <v>0</v>
      </c>
      <c r="C8" s="55">
        <f>IF($J$5&gt;1,IF($U$2&lt;&gt;0,IF(O8*(1+$O$5)&lt;=$U$2,O8*K8*(1+$O$5),$U$2*K8),O8*K8*(1+$O$5)),0)</f>
        <v>0</v>
      </c>
      <c r="D8" s="55">
        <f>IF($J$5&gt;2,IF($U$2&lt;&gt;0,IF(O8*(1+$O$5)^2&lt;=$U$2,O8*L8*(1+$O$5)^2,$U$2*L8),O8*L8*(1+$O$5)^2),0)</f>
        <v>0</v>
      </c>
      <c r="E8" s="55">
        <f>IF($J$5&gt;3,IF($U$2&lt;&gt;0,IF(O8*(1+$O$5)^3&lt;=$U$2,O8*M8*(1+$O$5)^3,$U$2*M8),O8*M8*(1+$O$5)^3),0)</f>
        <v>0</v>
      </c>
      <c r="F8" s="55">
        <f>IF($J$5&gt;4,IF($U$2&lt;&gt;0,IF(O8*(1+$O$5)^4&lt;=$U$2,O8*N8*(1+$O$5)^4,$U$2*N8),O8*N8*(1+$O$5)^4),0)</f>
        <v>0</v>
      </c>
      <c r="G8" s="203">
        <f>SUM(B8:F8)</f>
        <v>0</v>
      </c>
      <c r="H8" s="210"/>
      <c r="I8" s="207" t="s">
        <v>26</v>
      </c>
      <c r="J8" s="17">
        <v>0</v>
      </c>
      <c r="K8" s="17">
        <f>IF($J$5&gt;1,J8,0)</f>
        <v>0</v>
      </c>
      <c r="L8" s="17">
        <f>IF($J$5&gt;2,K8,0)</f>
        <v>0</v>
      </c>
      <c r="M8" s="17">
        <f>IF($J$5&gt;3,L8,0)</f>
        <v>0</v>
      </c>
      <c r="N8" s="17">
        <f>IF($J$5&gt;4,M8,0)</f>
        <v>0</v>
      </c>
      <c r="O8" s="145">
        <f>IF(U11="F",IF($U$2&lt;&gt;0,IF(T11&gt;$U$2,$U$2,T11),T11),0)</f>
        <v>0</v>
      </c>
      <c r="P8" s="157">
        <f>SUM(J7:N7)/(ROUNDUP($J$5,0)*12)</f>
        <v>0</v>
      </c>
      <c r="Q8" s="156">
        <f>(SUM(J7:N7)/(CEILING($J$5*12,12)))*12</f>
        <v>0</v>
      </c>
      <c r="R8" s="12"/>
      <c r="S8" s="12"/>
      <c r="T8" s="208"/>
      <c r="U8" s="94"/>
      <c r="V8" s="94"/>
    </row>
    <row r="9" spans="1:23" outlineLevel="1" x14ac:dyDescent="0.25">
      <c r="A9" s="495" t="str">
        <f>ROUND(P8*100,2)&amp;"% Annualized Effort, "&amp;ROUND(Q9,2)&amp;" Avg. Academic Months
"&amp;IF(SUM(J10:N10)&gt;0," and "&amp;Q10 &amp;" Avg. Summer Months", "")</f>
        <v xml:space="preserve">0% Annualized Effort, 0 Avg. Academic Months
</v>
      </c>
      <c r="B9" s="55">
        <f>J9*O9</f>
        <v>0</v>
      </c>
      <c r="C9" s="55">
        <f>IF($J$5&gt;1,IF($U$2&lt;&gt;0,IF(O9*(1+$O$5)&lt;=$U$2*0.75,O9*K9*(1+$O$5),$U$2*0.75*K9),O9*K9*(1+$O$5)),0)</f>
        <v>0</v>
      </c>
      <c r="D9" s="55">
        <f>IF($J$5&gt;2,IF($U$2&lt;&gt;0,IF(O9*(1+$O$5)^2&lt;=$U$2*0.75,O9*L9*(1+$O$5)^2,$U$2*0.75*L9),O9*L9*(1+$O$5)^2),0)</f>
        <v>0</v>
      </c>
      <c r="E9" s="55">
        <f>IF($J$5&gt;3,IF($U$2&lt;&gt;0,IF(O9*(1+$O$5)^3&lt;=$U$2*0.75,O9*M9*(1+$O$5)^3,$U$2*0.75*M9),O9*M9*(1+$O$5)^3),0)</f>
        <v>0</v>
      </c>
      <c r="F9" s="55">
        <f>IF($J$5&gt;4,IF($U$2&lt;&gt;0,IF(O9*(1+$O$5)^4&lt;=$U$2*0.75,O9*N9*(1+$O$5)^4,$U$2*0.75*N9),O9*N9*(1+$O$5)^4),0)</f>
        <v>0</v>
      </c>
      <c r="G9" s="203">
        <f>SUM(B9:F9)</f>
        <v>0</v>
      </c>
      <c r="H9" s="210"/>
      <c r="I9" s="207" t="s">
        <v>15</v>
      </c>
      <c r="J9" s="17">
        <v>0</v>
      </c>
      <c r="K9" s="17">
        <f>IF($J$5&gt;1,J9,0)</f>
        <v>0</v>
      </c>
      <c r="L9" s="17">
        <f>IF($J$5&gt;2,K9,0)</f>
        <v>0</v>
      </c>
      <c r="M9" s="17">
        <f>IF($J$5&gt;3,L9,0)</f>
        <v>0</v>
      </c>
      <c r="N9" s="17">
        <f>IF($J$5&gt;4,M9,0)</f>
        <v>0</v>
      </c>
      <c r="O9" s="145">
        <f>IF(U11="A",IF($U$2&lt;&gt;0,IF(T11&gt;($U$2/12*9),($U$2/12*9),T11),T11),0)</f>
        <v>0</v>
      </c>
      <c r="P9" s="211"/>
      <c r="Q9" s="156">
        <f>((SUM(J7:N7)-SUM(J10:N10))/(CEILING($J$5*9,9)))*9</f>
        <v>0</v>
      </c>
      <c r="R9" s="12"/>
      <c r="S9" s="12"/>
      <c r="T9" s="208"/>
      <c r="U9" s="94"/>
      <c r="V9" s="94"/>
    </row>
    <row r="10" spans="1:23" outlineLevel="1" x14ac:dyDescent="0.25">
      <c r="A10" s="495"/>
      <c r="B10" s="55">
        <f>J10/3*O10</f>
        <v>0</v>
      </c>
      <c r="C10" s="55">
        <f>IF($J$5&gt;1,IF($U$2&lt;&gt;0,IF(O10*(1+$O$5)&lt;=$U$2*0.25,O10*K10/3*(1+$O$5),$U$2*0.25*K10/3),O10*K10/3*(1+$O$5)),0)</f>
        <v>0</v>
      </c>
      <c r="D10" s="55">
        <f>IF($J$5&gt;2,IF($U$2&lt;&gt;0,IF(O10*(1+$O$5)^2&lt;=$U$2*0.25,O10*L10/3*(1+$O$5)^2,$U$2*0.25*L10/3),O10*L10/3*(1+$O$5)^2),0)</f>
        <v>0</v>
      </c>
      <c r="E10" s="55">
        <f>IF($J$5&gt;3,IF($U$2&lt;&gt;0,IF(O10*(1+$O$5)^3&lt;=$U$2*0.25,O10*M10/3*(1+$O$5)^3,$U$2*0.25*M10/3),O10*M10/3*(1+$O$5)^3),0)</f>
        <v>0</v>
      </c>
      <c r="F10" s="55">
        <f>IF($J$5&gt;4,IF($U$2&lt;&gt;0,IF(O10*(1+$O$5)^4&lt;=$U$2*0.25,O10*N10/3*(1+$O$5)^4,$U$2*0.25*N10/3),O10*N10/3*(1+$O$5)^4),0)</f>
        <v>0</v>
      </c>
      <c r="G10" s="203">
        <f>SUM(B10:F10)</f>
        <v>0</v>
      </c>
      <c r="H10" s="210"/>
      <c r="I10" s="207" t="s">
        <v>17</v>
      </c>
      <c r="J10" s="16">
        <v>0</v>
      </c>
      <c r="K10" s="16">
        <f>IF($J$5&gt;1,J10,0)</f>
        <v>0</v>
      </c>
      <c r="L10" s="16">
        <f>IF($J$5&gt;2,K10,0)</f>
        <v>0</v>
      </c>
      <c r="M10" s="16">
        <f>IF($J$5&gt;3,L10,0)</f>
        <v>0</v>
      </c>
      <c r="N10" s="16">
        <f>IF($J$5&gt;4,M10,0)</f>
        <v>0</v>
      </c>
      <c r="O10" s="145">
        <f>IF(U11="A",IF($U$2&lt;&gt;0,IF(T11/9*3&gt;($U$2/12*3),($U$2/12*3),T11/9*3),T11/9*3),0)</f>
        <v>0</v>
      </c>
      <c r="P10" s="157"/>
      <c r="Q10" s="157">
        <f>((SUM(J7:N7)-SUM(J9:N9)*9)/(CEILING($J$5*3,3)))*3</f>
        <v>0</v>
      </c>
      <c r="R10" s="12"/>
      <c r="S10" s="12"/>
      <c r="T10" s="12"/>
      <c r="U10" s="94"/>
      <c r="V10" s="94"/>
    </row>
    <row r="11" spans="1:23" outlineLevel="1" x14ac:dyDescent="0.25">
      <c r="A11" s="212"/>
      <c r="B11" s="55"/>
      <c r="C11" s="55"/>
      <c r="D11" s="206"/>
      <c r="E11" s="206"/>
      <c r="F11" s="206"/>
      <c r="G11" s="213"/>
      <c r="H11" s="214"/>
      <c r="I11" s="207" t="s">
        <v>109</v>
      </c>
      <c r="J11" s="147">
        <f>SUM(B8:B10)*$V11</f>
        <v>0</v>
      </c>
      <c r="K11" s="147">
        <f>SUM(C8:C10)*$V11</f>
        <v>0</v>
      </c>
      <c r="L11" s="147">
        <f>SUM(D8:D10)*$V11</f>
        <v>0</v>
      </c>
      <c r="M11" s="147">
        <f>SUM(E8:E10)*$V11</f>
        <v>0</v>
      </c>
      <c r="N11" s="147">
        <f>SUM(F8:F10)*$V11</f>
        <v>0</v>
      </c>
      <c r="O11" s="146"/>
      <c r="P11" s="157"/>
      <c r="Q11" s="157"/>
      <c r="R11" s="12"/>
      <c r="S11" s="12"/>
      <c r="T11" s="215">
        <v>0</v>
      </c>
      <c r="U11" s="216"/>
      <c r="V11" s="217">
        <f>$J$79</f>
        <v>0</v>
      </c>
    </row>
    <row r="12" spans="1:23" outlineLevel="1" x14ac:dyDescent="0.25">
      <c r="A12" s="212"/>
      <c r="B12" s="55"/>
      <c r="C12" s="55"/>
      <c r="D12" s="206"/>
      <c r="E12" s="206"/>
      <c r="F12" s="206"/>
      <c r="G12" s="213"/>
      <c r="H12" s="214"/>
      <c r="I12" s="218"/>
      <c r="J12" s="91"/>
      <c r="K12" s="91"/>
      <c r="L12" s="91"/>
      <c r="M12" s="91"/>
      <c r="N12" s="91"/>
      <c r="O12" s="22"/>
      <c r="P12" s="157"/>
      <c r="Q12" s="157"/>
      <c r="R12" s="12"/>
      <c r="S12" s="12"/>
      <c r="T12" s="208"/>
      <c r="U12" s="94"/>
      <c r="V12" s="94"/>
    </row>
    <row r="13" spans="1:23" outlineLevel="1" x14ac:dyDescent="0.25">
      <c r="A13" s="205" t="s">
        <v>84</v>
      </c>
      <c r="B13" s="55"/>
      <c r="C13" s="206"/>
      <c r="D13" s="206"/>
      <c r="E13" s="206"/>
      <c r="F13" s="206"/>
      <c r="G13" s="203"/>
      <c r="I13" s="207" t="s">
        <v>128</v>
      </c>
      <c r="J13" s="5">
        <f>IF(U17="F",J14*12,SUM(J15*9,J16))</f>
        <v>0</v>
      </c>
      <c r="K13" s="5">
        <f>IF(U17="F",K14*12,SUM(K15*9,K16))</f>
        <v>0</v>
      </c>
      <c r="L13" s="5">
        <f>IF(U17="F",L14*12,SUM(L15*9,L16))</f>
        <v>0</v>
      </c>
      <c r="M13" s="5">
        <f>IF(U17="F",M14*12,SUM(M15*9,M16))</f>
        <v>0</v>
      </c>
      <c r="N13" s="5">
        <f>IF(U17="F",N14*12,SUM(N15*9,N16))</f>
        <v>0</v>
      </c>
      <c r="O13" s="49" t="s">
        <v>51</v>
      </c>
      <c r="P13" s="153" t="s">
        <v>126</v>
      </c>
      <c r="Q13" s="153" t="s">
        <v>127</v>
      </c>
      <c r="R13" s="11"/>
      <c r="S13" s="12"/>
      <c r="T13" s="208"/>
      <c r="U13" s="94"/>
      <c r="V13" s="94"/>
    </row>
    <row r="14" spans="1:23" ht="15.75" customHeight="1" outlineLevel="1" x14ac:dyDescent="0.25">
      <c r="A14" s="209" t="str">
        <f>ROUND(P14*100, 2)&amp;"% Avg. Fiscal Effort, "&amp;ROUND(Q14, 2)&amp;" Avg. Calendar Months"</f>
        <v>0% Avg. Fiscal Effort, 0 Avg. Calendar Months</v>
      </c>
      <c r="B14" s="55">
        <f>O14*J14</f>
        <v>0</v>
      </c>
      <c r="C14" s="55">
        <f>IF($J$5&gt;1,IF($U$2&lt;&gt;0,IF(O14*(1+$O$5)&lt;=$U$2,O14*K14*(1+$O$5),$U$2*K14),O14*K14*(1+$O$5)),0)</f>
        <v>0</v>
      </c>
      <c r="D14" s="55">
        <f>IF($J$5&gt;2,IF($U$2&lt;&gt;0,IF(O14*(1+$O$5)^2&lt;=$U$2,O14*L14*(1+$O$5)^2,$U$2*L14),O14*L14*(1+$O$5)^2),0)</f>
        <v>0</v>
      </c>
      <c r="E14" s="55">
        <f>IF($J$5&gt;3,IF($U$2&lt;&gt;0,IF(O14*(1+$O$5)^3&lt;=$U$2,O14*M14*(1+$O$5)^3,$U$2*M14),O14*M14*(1+$O$5)^3),0)</f>
        <v>0</v>
      </c>
      <c r="F14" s="55">
        <f>IF($J$5&gt;4,IF($U$2&lt;&gt;0,IF(O14*(1+$O$5)^4&lt;=$U$2,O14*N14*(1+$O$5)^4,$U$2*N14),O14*N14*(1+$O$5)^4),0)</f>
        <v>0</v>
      </c>
      <c r="G14" s="203">
        <f>SUM(B14:F14)</f>
        <v>0</v>
      </c>
      <c r="H14" s="210"/>
      <c r="I14" s="207" t="s">
        <v>26</v>
      </c>
      <c r="J14" s="17">
        <v>0</v>
      </c>
      <c r="K14" s="17">
        <f>IF($J$5&gt;1,J14,0)</f>
        <v>0</v>
      </c>
      <c r="L14" s="17">
        <f>IF($J$5&gt;2,K14,0)</f>
        <v>0</v>
      </c>
      <c r="M14" s="17">
        <f>IF($J$5&gt;3,L14,0)</f>
        <v>0</v>
      </c>
      <c r="N14" s="17">
        <f>IF($J$5&gt;4,M14,0)</f>
        <v>0</v>
      </c>
      <c r="O14" s="145">
        <f>IF(U17="F",IF($U$2&lt;&gt;0,IF(T17&gt;$U$2,$U$2,T17),T17),0)</f>
        <v>0</v>
      </c>
      <c r="P14" s="157">
        <f>SUM(J13:N13)/(ROUNDUP($J$5,0)*12)</f>
        <v>0</v>
      </c>
      <c r="Q14" s="156">
        <f>(SUM(J13:N13)/(CEILING($J$5*12,12)))*12</f>
        <v>0</v>
      </c>
      <c r="R14" s="12"/>
      <c r="S14" s="12"/>
      <c r="T14" s="208"/>
      <c r="U14" s="94"/>
      <c r="V14" s="94"/>
    </row>
    <row r="15" spans="1:23" outlineLevel="1" x14ac:dyDescent="0.25">
      <c r="A15" s="495" t="str">
        <f>ROUND(P14*100,2)&amp;"% Annualized Effort, "&amp;ROUND(Q15,2)&amp;" Avg. Academic Months
"&amp;IF(SUM(J16:N16)&gt;0," and "&amp;Q16 &amp;" Avg. Summer Months", "")</f>
        <v xml:space="preserve">0% Annualized Effort, 0 Avg. Academic Months
</v>
      </c>
      <c r="B15" s="55">
        <f>J15*O15</f>
        <v>0</v>
      </c>
      <c r="C15" s="55">
        <f>IF($J$5&gt;1,IF($U$2&lt;&gt;0,IF(O15*(1+$O$5)&lt;=$U$2*0.75,O15*K15*(1+$O$5),$U$2*0.75*K15),O15*K15*(1+$O$5)),0)</f>
        <v>0</v>
      </c>
      <c r="D15" s="55">
        <f>IF($J$5&gt;2,IF($U$2&lt;&gt;0,IF(O15*(1+$O$5)^2&lt;=$U$2*0.75,O15*L15*(1+$O$5)^2,$U$2*0.75*L15),O15*L15*(1+$O$5)^2),0)</f>
        <v>0</v>
      </c>
      <c r="E15" s="55">
        <f>IF($J$5&gt;3,IF($U$2&lt;&gt;0,IF(O15*(1+$O$5)^3&lt;=$U$2*0.75,O15*M15*(1+$O$5)^3,$U$2*0.75*M15),O15*M15*(1+$O$5)^3),0)</f>
        <v>0</v>
      </c>
      <c r="F15" s="55">
        <f>IF($J$5&gt;4,IF($U$2&lt;&gt;0,IF(O15*(1+$O$5)^4&lt;=$U$2*0.75,O15*N15*(1+$O$5)^4,$U$2*0.75*N15),O15*N15*(1+$O$5)^4),0)</f>
        <v>0</v>
      </c>
      <c r="G15" s="203">
        <f>SUM(B15:F15)</f>
        <v>0</v>
      </c>
      <c r="H15" s="210"/>
      <c r="I15" s="207" t="s">
        <v>15</v>
      </c>
      <c r="J15" s="17">
        <v>0</v>
      </c>
      <c r="K15" s="17">
        <f>IF($J$5&gt;1,J15,0)</f>
        <v>0</v>
      </c>
      <c r="L15" s="17">
        <f>IF($J$5&gt;2,K15,0)</f>
        <v>0</v>
      </c>
      <c r="M15" s="17">
        <f>IF($J$5&gt;3,L15,0)</f>
        <v>0</v>
      </c>
      <c r="N15" s="17">
        <f>IF($J$5&gt;4,M15,0)</f>
        <v>0</v>
      </c>
      <c r="O15" s="145">
        <f>IF(U17="A",IF($U$2&lt;&gt;0,IF(T17&gt;($U$2/12*9),($U$2/12*9),T17),T17),0)</f>
        <v>0</v>
      </c>
      <c r="P15" s="211"/>
      <c r="Q15" s="156">
        <f>((SUM(J13:N13)-SUM(J16:N16))/(CEILING($J$5*9,9)))*9</f>
        <v>0</v>
      </c>
      <c r="R15" s="12"/>
      <c r="S15" s="12"/>
      <c r="T15" s="208"/>
      <c r="U15" s="94"/>
      <c r="V15" s="94"/>
    </row>
    <row r="16" spans="1:23" outlineLevel="1" x14ac:dyDescent="0.25">
      <c r="A16" s="495"/>
      <c r="B16" s="55">
        <f>J16/3*O16</f>
        <v>0</v>
      </c>
      <c r="C16" s="55">
        <f>IF($J$5&gt;1,IF($U$2&lt;&gt;0,IF(O16*(1+$O$5)&lt;=$U$2*0.25,O16*K16/3*(1+$O$5),$U$2*0.25*K16/3),O16*K16/3*(1+$O$5)),0)</f>
        <v>0</v>
      </c>
      <c r="D16" s="55">
        <f>IF($J$5&gt;2,IF($U$2&lt;&gt;0,IF(O16*(1+$O$5)^2&lt;=$U$2*0.25,O16*L16/3*(1+$O$5)^2,$U$2*0.25*L16/3),O16*L16/3*(1+$O$5)^2),0)</f>
        <v>0</v>
      </c>
      <c r="E16" s="55">
        <f>IF($J$5&gt;3,IF($U$2&lt;&gt;0,IF(O16*(1+$O$5)^3&lt;=$U$2*0.25,O16*M16/3*(1+$O$5)^3,$U$2*0.25*M16/3),O16*M16/3*(1+$O$5)^3),0)</f>
        <v>0</v>
      </c>
      <c r="F16" s="55">
        <f>IF($J$5&gt;4,IF($U$2&lt;&gt;0,IF(O16*(1+$O$5)^4&lt;=$U$2*0.25,O16*N16/3*(1+$O$5)^4,$U$2*0.25*N16/3),O16*N16/3*(1+$O$5)^4),0)</f>
        <v>0</v>
      </c>
      <c r="G16" s="203">
        <f>SUM(B16:F16)</f>
        <v>0</v>
      </c>
      <c r="H16" s="210"/>
      <c r="I16" s="207" t="s">
        <v>17</v>
      </c>
      <c r="J16" s="16">
        <v>0</v>
      </c>
      <c r="K16" s="16">
        <f>IF($J$5&gt;1,J16,0)</f>
        <v>0</v>
      </c>
      <c r="L16" s="16">
        <f>IF($J$5&gt;2,K16,0)</f>
        <v>0</v>
      </c>
      <c r="M16" s="16">
        <f>IF($J$5&gt;3,L16,0)</f>
        <v>0</v>
      </c>
      <c r="N16" s="16">
        <f>IF($J$5&gt;4,M16,0)</f>
        <v>0</v>
      </c>
      <c r="O16" s="145">
        <f>IF(U17="A",IF($U$2&lt;&gt;0,IF(T17/9*3&gt;($U$2/12*3),($U$2/12*3),T17/9*3),T17/9*3),0)</f>
        <v>0</v>
      </c>
      <c r="P16" s="157"/>
      <c r="Q16" s="157">
        <f>((SUM(J13:N13)-SUM(J15:N15)*9)/(CEILING($J$5*3,3)))*3</f>
        <v>0</v>
      </c>
      <c r="R16" s="12"/>
      <c r="S16" s="12"/>
      <c r="T16" s="12"/>
      <c r="U16" s="94"/>
      <c r="V16" s="94"/>
    </row>
    <row r="17" spans="1:22" outlineLevel="1" x14ac:dyDescent="0.25">
      <c r="A17" s="212"/>
      <c r="B17" s="55"/>
      <c r="C17" s="55"/>
      <c r="D17" s="206"/>
      <c r="E17" s="206"/>
      <c r="F17" s="206"/>
      <c r="G17" s="213"/>
      <c r="H17" s="214"/>
      <c r="I17" s="207" t="s">
        <v>109</v>
      </c>
      <c r="J17" s="147">
        <f>SUM(B14:B16)*$V17</f>
        <v>0</v>
      </c>
      <c r="K17" s="147">
        <f>SUM(C14:C16)*$V17</f>
        <v>0</v>
      </c>
      <c r="L17" s="147">
        <f>SUM(D14:D16)*$V17</f>
        <v>0</v>
      </c>
      <c r="M17" s="147">
        <f>SUM(E14:E16)*$V17</f>
        <v>0</v>
      </c>
      <c r="N17" s="147">
        <f>SUM(F14:F16)*$V17</f>
        <v>0</v>
      </c>
      <c r="O17" s="146"/>
      <c r="P17" s="157"/>
      <c r="Q17" s="157"/>
      <c r="R17" s="12"/>
      <c r="S17" s="12"/>
      <c r="T17" s="215">
        <v>0</v>
      </c>
      <c r="U17" s="216"/>
      <c r="V17" s="217">
        <f>$J$79</f>
        <v>0</v>
      </c>
    </row>
    <row r="18" spans="1:22" outlineLevel="1" x14ac:dyDescent="0.25">
      <c r="A18" s="212"/>
      <c r="B18" s="55"/>
      <c r="C18" s="55"/>
      <c r="D18" s="206"/>
      <c r="E18" s="206"/>
      <c r="F18" s="206"/>
      <c r="G18" s="213"/>
      <c r="H18" s="214"/>
      <c r="I18" s="218"/>
      <c r="J18" s="91"/>
      <c r="K18" s="91"/>
      <c r="L18" s="91"/>
      <c r="M18" s="91"/>
      <c r="N18" s="91"/>
      <c r="O18" s="22"/>
      <c r="P18" s="157"/>
      <c r="Q18" s="157"/>
      <c r="R18" s="12"/>
      <c r="S18" s="12"/>
      <c r="T18" s="208"/>
      <c r="U18" s="94"/>
      <c r="V18" s="94"/>
    </row>
    <row r="19" spans="1:22" outlineLevel="1" x14ac:dyDescent="0.25">
      <c r="A19" s="205" t="s">
        <v>84</v>
      </c>
      <c r="B19" s="55"/>
      <c r="C19" s="206"/>
      <c r="D19" s="206"/>
      <c r="E19" s="206"/>
      <c r="F19" s="206"/>
      <c r="G19" s="203"/>
      <c r="I19" s="207" t="s">
        <v>128</v>
      </c>
      <c r="J19" s="5">
        <f>IF(U23="F",J20*12,SUM(J21*9,J22))</f>
        <v>0</v>
      </c>
      <c r="K19" s="5">
        <f>IF(U23="F",K20*12,SUM(K21*9,K22))</f>
        <v>0</v>
      </c>
      <c r="L19" s="5">
        <f>IF(U23="F",L20*12,SUM(L21*9,L22))</f>
        <v>0</v>
      </c>
      <c r="M19" s="5">
        <f>IF(U23="F",M20*12,SUM(M21*9,M22))</f>
        <v>0</v>
      </c>
      <c r="N19" s="5">
        <f>IF(U23="F",N20*12,SUM(N21*9,N22))</f>
        <v>0</v>
      </c>
      <c r="O19" s="49" t="s">
        <v>51</v>
      </c>
      <c r="P19" s="153" t="s">
        <v>126</v>
      </c>
      <c r="Q19" s="153" t="s">
        <v>127</v>
      </c>
      <c r="R19" s="11"/>
      <c r="S19" s="12"/>
      <c r="T19" s="208"/>
      <c r="U19" s="94"/>
      <c r="V19" s="94"/>
    </row>
    <row r="20" spans="1:22" outlineLevel="1" x14ac:dyDescent="0.25">
      <c r="A20" s="209" t="str">
        <f>ROUND(P20*100, 2)&amp;"% Avg. Fiscal Effort, "&amp;ROUND(Q20, 2)&amp;" Avg. Calendar Months"</f>
        <v>0% Avg. Fiscal Effort, 0 Avg. Calendar Months</v>
      </c>
      <c r="B20" s="55">
        <f>O20*J20</f>
        <v>0</v>
      </c>
      <c r="C20" s="55">
        <f>IF($J$5&gt;1,IF($U$2&lt;&gt;0,IF(O20*(1+$O$5)&lt;=$U$2,O20*K20*(1+$O$5),$U$2*K20),O20*K20*(1+$O$5)),0)</f>
        <v>0</v>
      </c>
      <c r="D20" s="55">
        <f>IF($J$5&gt;2,IF($U$2&lt;&gt;0,IF(O20*(1+$O$5)^2&lt;=$U$2,O20*L20*(1+$O$5)^2,$U$2*L20),O20*L20*(1+$O$5)^2),0)</f>
        <v>0</v>
      </c>
      <c r="E20" s="55">
        <f>IF($J$5&gt;3,IF($U$2&lt;&gt;0,IF(O20*(1+$O$5)^3&lt;=$U$2,O20*M20*(1+$O$5)^3,$U$2*M20),O20*M20*(1+$O$5)^3),0)</f>
        <v>0</v>
      </c>
      <c r="F20" s="55">
        <f>IF($J$5&gt;4,IF($U$2&lt;&gt;0,IF(O20*(1+$O$5)^4&lt;=$U$2,O20*N20*(1+$O$5)^4,$U$2*N20),O20*N20*(1+$O$5)^4),0)</f>
        <v>0</v>
      </c>
      <c r="G20" s="203">
        <f>SUM(B20:F20)</f>
        <v>0</v>
      </c>
      <c r="H20" s="210"/>
      <c r="I20" s="207" t="s">
        <v>26</v>
      </c>
      <c r="J20" s="17">
        <v>0</v>
      </c>
      <c r="K20" s="17">
        <f>IF($J$5&gt;1,J20,0)</f>
        <v>0</v>
      </c>
      <c r="L20" s="17">
        <f>IF($J$5&gt;2,K20,0)</f>
        <v>0</v>
      </c>
      <c r="M20" s="17">
        <f>IF($J$5&gt;3,L20,0)</f>
        <v>0</v>
      </c>
      <c r="N20" s="17">
        <f>IF($J$5&gt;4,M20,0)</f>
        <v>0</v>
      </c>
      <c r="O20" s="145">
        <f>IF(U23="F",IF($U$2&lt;&gt;0,IF(T23&gt;$U$2,$U$2,T23),T23),0)</f>
        <v>0</v>
      </c>
      <c r="P20" s="157">
        <f>SUM(J19:N19)/(ROUNDUP($J$5,0)*12)</f>
        <v>0</v>
      </c>
      <c r="Q20" s="156">
        <f>(SUM(J19:N19)/(CEILING($J$5*12,12)))*12</f>
        <v>0</v>
      </c>
      <c r="R20" s="12"/>
      <c r="S20" s="12"/>
      <c r="T20" s="208"/>
      <c r="U20" s="94"/>
      <c r="V20" s="94"/>
    </row>
    <row r="21" spans="1:22" outlineLevel="1" x14ac:dyDescent="0.25">
      <c r="A21" s="495" t="str">
        <f>ROUND(P20*100,2)&amp;"% Annualized Effort, "&amp;ROUND(Q21,2)&amp;" Avg. Academic Months
"&amp;IF(SUM(J22:N22)&gt;0," and "&amp;Q22 &amp;" Avg. Summer Months", "")</f>
        <v xml:space="preserve">0% Annualized Effort, 0 Avg. Academic Months
</v>
      </c>
      <c r="B21" s="55">
        <f>J21*O21</f>
        <v>0</v>
      </c>
      <c r="C21" s="55">
        <f>IF($J$5&gt;1,IF($U$2&lt;&gt;0,IF(O21*(1+$O$5)&lt;=$U$2*0.75,O21*K21*(1+$O$5),$U$2*0.75*K21),O21*K21*(1+$O$5)),0)</f>
        <v>0</v>
      </c>
      <c r="D21" s="55">
        <f>IF($J$5&gt;2,IF($U$2&lt;&gt;0,IF(O21*(1+$O$5)^2&lt;=$U$2*0.75,O21*L21*(1+$O$5)^2,$U$2*0.75*L21),O21*L21*(1+$O$5)^2),0)</f>
        <v>0</v>
      </c>
      <c r="E21" s="55">
        <f>IF($J$5&gt;3,IF($U$2&lt;&gt;0,IF(O21*(1+$O$5)^3&lt;=$U$2*0.75,O21*M21*(1+$O$5)^3,$U$2*0.75*M21),O21*M21*(1+$O$5)^3),0)</f>
        <v>0</v>
      </c>
      <c r="F21" s="55">
        <f>IF($J$5&gt;4,IF($U$2&lt;&gt;0,IF(O21*(1+$O$5)^4&lt;=$U$2*0.75,O21*N21*(1+$O$5)^4,$U$2*0.75*N21),O21*N21*(1+$O$5)^4),0)</f>
        <v>0</v>
      </c>
      <c r="G21" s="203">
        <f>SUM(B21:F21)</f>
        <v>0</v>
      </c>
      <c r="H21" s="210"/>
      <c r="I21" s="207" t="s">
        <v>15</v>
      </c>
      <c r="J21" s="17">
        <v>0</v>
      </c>
      <c r="K21" s="17">
        <f>IF($J$5&gt;1,J21,0)</f>
        <v>0</v>
      </c>
      <c r="L21" s="17">
        <f>IF($J$5&gt;2,K21,0)</f>
        <v>0</v>
      </c>
      <c r="M21" s="17">
        <f>IF($J$5&gt;3,L21,0)</f>
        <v>0</v>
      </c>
      <c r="N21" s="17">
        <f>IF($J$5&gt;4,M21,0)</f>
        <v>0</v>
      </c>
      <c r="O21" s="145">
        <f>IF(U23="A",IF($U$2&lt;&gt;0,IF(T23&gt;($U$2/12*9),($U$2/12*9),T23),T23),0)</f>
        <v>0</v>
      </c>
      <c r="P21" s="211"/>
      <c r="Q21" s="156">
        <f>((SUM(J19:N19)-SUM(J22:N22))/(CEILING($J$5*9,9)))*9</f>
        <v>0</v>
      </c>
      <c r="R21" s="12"/>
      <c r="S21" s="12"/>
      <c r="T21" s="208"/>
      <c r="U21" s="94"/>
      <c r="V21" s="94"/>
    </row>
    <row r="22" spans="1:22" outlineLevel="1" x14ac:dyDescent="0.25">
      <c r="A22" s="495"/>
      <c r="B22" s="55">
        <f>J22/3*O22</f>
        <v>0</v>
      </c>
      <c r="C22" s="55">
        <f>IF($J$5&gt;1,IF($U$2&lt;&gt;0,IF(O22*(1+$O$5)&lt;=$U$2*0.25,O22*K22/3*(1+$O$5),$U$2*0.25*K22/3),O22*K22/3*(1+$O$5)),0)</f>
        <v>0</v>
      </c>
      <c r="D22" s="55">
        <f>IF($J$5&gt;2,IF($U$2&lt;&gt;0,IF(O22*(1+$O$5)^2&lt;=$U$2*0.25,O22*L22/3*(1+$O$5)^2,$U$2*0.25*L22/3),O22*L22/3*(1+$O$5)^2),0)</f>
        <v>0</v>
      </c>
      <c r="E22" s="55">
        <f>IF($J$5&gt;3,IF($U$2&lt;&gt;0,IF(O22*(1+$O$5)^3&lt;=$U$2*0.25,O22*M22/3*(1+$O$5)^3,$U$2*0.25*M22/3),O22*M22/3*(1+$O$5)^3),0)</f>
        <v>0</v>
      </c>
      <c r="F22" s="55">
        <f>IF($J$5&gt;4,IF($U$2&lt;&gt;0,IF(O22*(1+$O$5)^4&lt;=$U$2*0.25,O22*N22/3*(1+$O$5)^4,$U$2*0.25*N22/3),O22*N22/3*(1+$O$5)^4),0)</f>
        <v>0</v>
      </c>
      <c r="G22" s="203">
        <f>SUM(B22:F22)</f>
        <v>0</v>
      </c>
      <c r="H22" s="210"/>
      <c r="I22" s="207" t="s">
        <v>17</v>
      </c>
      <c r="J22" s="16">
        <v>0</v>
      </c>
      <c r="K22" s="16">
        <f>IF($J$5&gt;1,J22,0)</f>
        <v>0</v>
      </c>
      <c r="L22" s="16">
        <f>IF($J$5&gt;2,K22,0)</f>
        <v>0</v>
      </c>
      <c r="M22" s="16">
        <f>IF($J$5&gt;3,L22,0)</f>
        <v>0</v>
      </c>
      <c r="N22" s="16">
        <f>IF($J$5&gt;4,M22,0)</f>
        <v>0</v>
      </c>
      <c r="O22" s="145">
        <f>IF(U23="A",IF($U$2&lt;&gt;0,IF(T23/9*3&gt;($U$2/12*3),($U$2/12*3),T23/9*3),T23/9*3),0)</f>
        <v>0</v>
      </c>
      <c r="P22" s="157"/>
      <c r="Q22" s="157">
        <f>((SUM(J19:N19)-SUM(J21:N21)*9)/(CEILING($J$5*3,3)))*3</f>
        <v>0</v>
      </c>
      <c r="R22" s="12"/>
      <c r="S22" s="12"/>
      <c r="T22" s="12"/>
      <c r="U22" s="94"/>
      <c r="V22" s="94"/>
    </row>
    <row r="23" spans="1:22" outlineLevel="1" x14ac:dyDescent="0.25">
      <c r="A23" s="212"/>
      <c r="B23" s="55"/>
      <c r="C23" s="55"/>
      <c r="D23" s="206"/>
      <c r="E23" s="206"/>
      <c r="F23" s="206"/>
      <c r="G23" s="213"/>
      <c r="H23" s="214"/>
      <c r="I23" s="207" t="s">
        <v>109</v>
      </c>
      <c r="J23" s="147">
        <f>SUM(B20:B22)*$V23</f>
        <v>0</v>
      </c>
      <c r="K23" s="147">
        <f>SUM(C20:C22)*$V23</f>
        <v>0</v>
      </c>
      <c r="L23" s="147">
        <f>SUM(D20:D22)*$V23</f>
        <v>0</v>
      </c>
      <c r="M23" s="147">
        <f>SUM(E20:E22)*$V23</f>
        <v>0</v>
      </c>
      <c r="N23" s="147">
        <f>SUM(F20:F22)*$V23</f>
        <v>0</v>
      </c>
      <c r="O23" s="146"/>
      <c r="P23" s="157"/>
      <c r="Q23" s="157"/>
      <c r="R23" s="12"/>
      <c r="S23" s="12"/>
      <c r="T23" s="215">
        <v>0</v>
      </c>
      <c r="U23" s="216"/>
      <c r="V23" s="217">
        <f>$J$79</f>
        <v>0</v>
      </c>
    </row>
    <row r="24" spans="1:22" outlineLevel="1" x14ac:dyDescent="0.25">
      <c r="A24" s="212"/>
      <c r="B24" s="55"/>
      <c r="C24" s="55"/>
      <c r="D24" s="206"/>
      <c r="E24" s="206"/>
      <c r="F24" s="206"/>
      <c r="G24" s="213"/>
      <c r="H24" s="214"/>
      <c r="I24" s="218"/>
      <c r="J24" s="91"/>
      <c r="K24" s="91"/>
      <c r="L24" s="91"/>
      <c r="M24" s="91"/>
      <c r="N24" s="91"/>
      <c r="O24" s="22"/>
      <c r="P24" s="157"/>
      <c r="Q24" s="157"/>
      <c r="R24" s="12"/>
      <c r="S24" s="12"/>
      <c r="T24" s="208"/>
      <c r="U24" s="94"/>
      <c r="V24" s="94"/>
    </row>
    <row r="25" spans="1:22" outlineLevel="1" x14ac:dyDescent="0.25">
      <c r="A25" s="205" t="s">
        <v>84</v>
      </c>
      <c r="B25" s="55"/>
      <c r="C25" s="206"/>
      <c r="D25" s="206"/>
      <c r="E25" s="206"/>
      <c r="F25" s="206"/>
      <c r="G25" s="203"/>
      <c r="I25" s="207" t="s">
        <v>128</v>
      </c>
      <c r="J25" s="5">
        <f>IF(U29="F",J26*12,SUM(J27*9,J28))</f>
        <v>0</v>
      </c>
      <c r="K25" s="5">
        <f>IF(U29="F",K26*12,SUM(K27*9,K28))</f>
        <v>0</v>
      </c>
      <c r="L25" s="5">
        <f>IF(U29="F",L26*12,SUM(L27*9,L28))</f>
        <v>0</v>
      </c>
      <c r="M25" s="5">
        <f>IF(U29="F",M26*12,SUM(M27*9,M28))</f>
        <v>0</v>
      </c>
      <c r="N25" s="5">
        <f>IF(U29="F",N26*12,SUM(N27*9,N28))</f>
        <v>0</v>
      </c>
      <c r="O25" s="49" t="s">
        <v>51</v>
      </c>
      <c r="P25" s="153" t="s">
        <v>126</v>
      </c>
      <c r="Q25" s="153" t="s">
        <v>127</v>
      </c>
      <c r="R25" s="11"/>
      <c r="S25" s="12"/>
      <c r="T25" s="208"/>
      <c r="U25" s="94"/>
      <c r="V25" s="94"/>
    </row>
    <row r="26" spans="1:22" outlineLevel="1" x14ac:dyDescent="0.25">
      <c r="A26" s="209" t="str">
        <f>ROUND(P26*100, 2)&amp;"% Avg. Fiscal Effort, "&amp;ROUND(Q26, 2)&amp;" Avg. Calendar Months"</f>
        <v>0% Avg. Fiscal Effort, 0 Avg. Calendar Months</v>
      </c>
      <c r="B26" s="55">
        <f>O26*J26</f>
        <v>0</v>
      </c>
      <c r="C26" s="55">
        <f>IF($J$5&gt;1,IF($U$2&lt;&gt;0,IF(O26*(1+$O$5)&lt;=$U$2,O26*K26*(1+$O$5),$U$2*K26),O26*K26*(1+$O$5)),0)</f>
        <v>0</v>
      </c>
      <c r="D26" s="55">
        <f>IF($J$5&gt;2,IF($U$2&lt;&gt;0,IF(O26*(1+$O$5)^2&lt;=$U$2,O26*L26*(1+$O$5)^2,$U$2*L26),O26*L26*(1+$O$5)^2),0)</f>
        <v>0</v>
      </c>
      <c r="E26" s="55">
        <f>IF($J$5&gt;3,IF($U$2&lt;&gt;0,IF(O26*(1+$O$5)^3&lt;=$U$2,O26*M26*(1+$O$5)^3,$U$2*M26),O26*M26*(1+$O$5)^3),0)</f>
        <v>0</v>
      </c>
      <c r="F26" s="55">
        <f>IF($J$5&gt;4,IF($U$2&lt;&gt;0,IF(O26*(1+$O$5)^4&lt;=$U$2,O26*N26*(1+$O$5)^4,$U$2*N26),O26*N26*(1+$O$5)^4),0)</f>
        <v>0</v>
      </c>
      <c r="G26" s="203">
        <f>SUM(B26:F26)</f>
        <v>0</v>
      </c>
      <c r="H26" s="210"/>
      <c r="I26" s="207" t="s">
        <v>26</v>
      </c>
      <c r="J26" s="17">
        <v>0</v>
      </c>
      <c r="K26" s="17">
        <f>IF($J$5&gt;1,J26,0)</f>
        <v>0</v>
      </c>
      <c r="L26" s="17">
        <f>IF($J$5&gt;2,K26,0)</f>
        <v>0</v>
      </c>
      <c r="M26" s="17">
        <f>IF($J$5&gt;3,L26,0)</f>
        <v>0</v>
      </c>
      <c r="N26" s="17">
        <f>IF($J$5&gt;4,M26,0)</f>
        <v>0</v>
      </c>
      <c r="O26" s="145">
        <f>IF(U29="F",IF($U$2&lt;&gt;0,IF(T29&gt;$U$2,$U$2,T29),T29),0)</f>
        <v>0</v>
      </c>
      <c r="P26" s="157">
        <f>SUM(J25:N25)/(ROUNDUP($J$5,0)*12)</f>
        <v>0</v>
      </c>
      <c r="Q26" s="156">
        <f>(SUM(J25:N25)/(CEILING($J$5*12,12)))*12</f>
        <v>0</v>
      </c>
      <c r="R26" s="12"/>
      <c r="S26" s="12"/>
      <c r="T26" s="208"/>
      <c r="U26" s="94"/>
      <c r="V26" s="94"/>
    </row>
    <row r="27" spans="1:22" outlineLevel="1" x14ac:dyDescent="0.25">
      <c r="A27" s="495" t="str">
        <f>ROUND(P26*100,2)&amp;"% Annualized Effort, "&amp;ROUND(Q27,2)&amp;" Avg. Academic Months
"&amp;IF(SUM(J28:N28)&gt;0," and "&amp;Q28 &amp;" Avg. Summer Months", "")</f>
        <v xml:space="preserve">0% Annualized Effort, 0 Avg. Academic Months
</v>
      </c>
      <c r="B27" s="55">
        <f>J27*O27</f>
        <v>0</v>
      </c>
      <c r="C27" s="55">
        <f>IF($J$5&gt;1,IF($U$2&lt;&gt;0,IF(O27*(1+$O$5)&lt;=$U$2*0.75,O27*K27*(1+$O$5),$U$2*0.75*K27),O27*K27*(1+$O$5)),0)</f>
        <v>0</v>
      </c>
      <c r="D27" s="55">
        <f>IF($J$5&gt;2,IF($U$2&lt;&gt;0,IF(O27*(1+$O$5)^2&lt;=$U$2*0.75,O27*L27*(1+$O$5)^2,$U$2*0.75*L27),O27*L27*(1+$O$5)^2),0)</f>
        <v>0</v>
      </c>
      <c r="E27" s="55">
        <f>IF($J$5&gt;3,IF($U$2&lt;&gt;0,IF(O27*(1+$O$5)^3&lt;=$U$2*0.75,O27*M27*(1+$O$5)^3,$U$2*0.75*M27),O27*M27*(1+$O$5)^3),0)</f>
        <v>0</v>
      </c>
      <c r="F27" s="55">
        <f>IF($J$5&gt;4,IF($U$2&lt;&gt;0,IF(O27*(1+$O$5)^4&lt;=$U$2*0.75,O27*N27*(1+$O$5)^4,$U$2*0.75*N27),O27*N27*(1+$O$5)^4),0)</f>
        <v>0</v>
      </c>
      <c r="G27" s="203">
        <f>SUM(B27:F27)</f>
        <v>0</v>
      </c>
      <c r="H27" s="210"/>
      <c r="I27" s="207" t="s">
        <v>15</v>
      </c>
      <c r="J27" s="17">
        <v>0</v>
      </c>
      <c r="K27" s="17">
        <f>IF($J$5&gt;1,J27,0)</f>
        <v>0</v>
      </c>
      <c r="L27" s="17">
        <f>IF($J$5&gt;2,K27,0)</f>
        <v>0</v>
      </c>
      <c r="M27" s="17">
        <f>IF($J$5&gt;3,L27,0)</f>
        <v>0</v>
      </c>
      <c r="N27" s="17">
        <f>IF($J$5&gt;4,M27,0)</f>
        <v>0</v>
      </c>
      <c r="O27" s="145">
        <f>IF(U29="A",IF($U$2&lt;&gt;0,IF(T29&gt;($U$2/12*9),($U$2/12*9),T29),T29),0)</f>
        <v>0</v>
      </c>
      <c r="P27" s="211"/>
      <c r="Q27" s="156">
        <f>((SUM(J25:N25)-SUM(J28:N28))/(CEILING($J$5*9,9)))*9</f>
        <v>0</v>
      </c>
      <c r="R27" s="12"/>
      <c r="S27" s="12"/>
      <c r="T27" s="208"/>
      <c r="U27" s="94"/>
      <c r="V27" s="94"/>
    </row>
    <row r="28" spans="1:22" outlineLevel="1" x14ac:dyDescent="0.25">
      <c r="A28" s="495"/>
      <c r="B28" s="55">
        <f>J28/3*O28</f>
        <v>0</v>
      </c>
      <c r="C28" s="55">
        <f>IF($J$5&gt;1,IF($U$2&lt;&gt;0,IF(O28*(1+$O$5)&lt;=$U$2*0.25,O28*K28/3*(1+$O$5),$U$2*0.25*K28/3),O28*K28/3*(1+$O$5)),0)</f>
        <v>0</v>
      </c>
      <c r="D28" s="55">
        <f>IF($J$5&gt;2,IF($U$2&lt;&gt;0,IF(O28*(1+$O$5)^2&lt;=$U$2*0.25,O28*L28/3*(1+$O$5)^2,$U$2*0.25*L28/3),O28*L28/3*(1+$O$5)^2),0)</f>
        <v>0</v>
      </c>
      <c r="E28" s="55">
        <f>IF($J$5&gt;3,IF($U$2&lt;&gt;0,IF(O28*(1+$O$5)^3&lt;=$U$2*0.25,O28*M28/3*(1+$O$5)^3,$U$2*0.25*M28/3),O28*M28/3*(1+$O$5)^3),0)</f>
        <v>0</v>
      </c>
      <c r="F28" s="55">
        <f>IF($J$5&gt;4,IF($U$2&lt;&gt;0,IF(O28*(1+$O$5)^4&lt;=$U$2*0.25,O28*N28/3*(1+$O$5)^4,$U$2*0.25*N28/3),O28*N28/3*(1+$O$5)^4),0)</f>
        <v>0</v>
      </c>
      <c r="G28" s="203">
        <f>SUM(B28:F28)</f>
        <v>0</v>
      </c>
      <c r="H28" s="210"/>
      <c r="I28" s="207" t="s">
        <v>17</v>
      </c>
      <c r="J28" s="16">
        <v>0</v>
      </c>
      <c r="K28" s="16">
        <f>IF($J$5&gt;1,J28,0)</f>
        <v>0</v>
      </c>
      <c r="L28" s="16">
        <f>IF($J$5&gt;2,K28,0)</f>
        <v>0</v>
      </c>
      <c r="M28" s="16">
        <f>IF($J$5&gt;3,L28,0)</f>
        <v>0</v>
      </c>
      <c r="N28" s="16">
        <f>IF($J$5&gt;4,M28,0)</f>
        <v>0</v>
      </c>
      <c r="O28" s="145">
        <f>IF(U29="A",IF($U$2&lt;&gt;0,IF(T29/9*3&gt;($U$2/12*3),($U$2/12*3),T29/9*3),T29/9*3),0)</f>
        <v>0</v>
      </c>
      <c r="P28" s="157"/>
      <c r="Q28" s="157">
        <f>((SUM(J25:N25)-SUM(J27:N27)*9)/(CEILING($J$5*3,3)))*3</f>
        <v>0</v>
      </c>
      <c r="R28" s="12"/>
      <c r="S28" s="12"/>
      <c r="T28" s="12"/>
      <c r="U28" s="94"/>
      <c r="V28" s="94"/>
    </row>
    <row r="29" spans="1:22" outlineLevel="1" x14ac:dyDescent="0.25">
      <c r="A29" s="212"/>
      <c r="B29" s="55"/>
      <c r="C29" s="55"/>
      <c r="D29" s="206"/>
      <c r="E29" s="206"/>
      <c r="F29" s="206"/>
      <c r="G29" s="213"/>
      <c r="H29" s="214"/>
      <c r="I29" s="207" t="s">
        <v>109</v>
      </c>
      <c r="J29" s="147">
        <f>SUM(B26:B28)*$V29</f>
        <v>0</v>
      </c>
      <c r="K29" s="147">
        <f>SUM(C26:C28)*$V29</f>
        <v>0</v>
      </c>
      <c r="L29" s="147">
        <f>SUM(D26:D28)*$V29</f>
        <v>0</v>
      </c>
      <c r="M29" s="147">
        <f>SUM(E26:E28)*$V29</f>
        <v>0</v>
      </c>
      <c r="N29" s="147">
        <f>SUM(F26:F28)*$V29</f>
        <v>0</v>
      </c>
      <c r="O29" s="146"/>
      <c r="P29" s="157"/>
      <c r="Q29" s="157"/>
      <c r="R29" s="12"/>
      <c r="S29" s="12"/>
      <c r="T29" s="215">
        <v>0</v>
      </c>
      <c r="U29" s="216"/>
      <c r="V29" s="217">
        <f>$J$79</f>
        <v>0</v>
      </c>
    </row>
    <row r="30" spans="1:22" outlineLevel="1" x14ac:dyDescent="0.25">
      <c r="A30" s="212"/>
      <c r="B30" s="55"/>
      <c r="C30" s="55"/>
      <c r="D30" s="206"/>
      <c r="E30" s="206"/>
      <c r="F30" s="206"/>
      <c r="G30" s="213"/>
      <c r="H30" s="214"/>
      <c r="I30" s="218"/>
      <c r="J30" s="91"/>
      <c r="K30" s="91"/>
      <c r="L30" s="91"/>
      <c r="M30" s="91"/>
      <c r="N30" s="91"/>
      <c r="O30" s="22"/>
      <c r="P30" s="157"/>
      <c r="Q30" s="157"/>
      <c r="R30" s="12"/>
      <c r="S30" s="12"/>
      <c r="T30" s="208"/>
      <c r="U30" s="94"/>
      <c r="V30" s="94"/>
    </row>
    <row r="31" spans="1:22" outlineLevel="1" x14ac:dyDescent="0.25">
      <c r="A31" s="205" t="s">
        <v>84</v>
      </c>
      <c r="B31" s="55"/>
      <c r="C31" s="206"/>
      <c r="D31" s="206"/>
      <c r="E31" s="206"/>
      <c r="F31" s="206"/>
      <c r="G31" s="203"/>
      <c r="I31" s="207" t="s">
        <v>128</v>
      </c>
      <c r="J31" s="5">
        <f>IF(U35="F",J32*12,SUM(J33*9,J34))</f>
        <v>0</v>
      </c>
      <c r="K31" s="5">
        <f>IF(U35="F",K32*12,SUM(K33*9,K34))</f>
        <v>0</v>
      </c>
      <c r="L31" s="5">
        <f>IF(U35="F",L32*12,SUM(L33*9,L34))</f>
        <v>0</v>
      </c>
      <c r="M31" s="5">
        <f>IF(U35="F",M32*12,SUM(M33*9,M34))</f>
        <v>0</v>
      </c>
      <c r="N31" s="5">
        <f>IF(U35="F",N32*12,SUM(N33*9,N34))</f>
        <v>0</v>
      </c>
      <c r="O31" s="49" t="s">
        <v>51</v>
      </c>
      <c r="P31" s="153" t="s">
        <v>126</v>
      </c>
      <c r="Q31" s="153" t="s">
        <v>127</v>
      </c>
      <c r="R31" s="11"/>
      <c r="S31" s="12"/>
      <c r="T31" s="208"/>
      <c r="U31" s="94"/>
      <c r="V31" s="94"/>
    </row>
    <row r="32" spans="1:22" outlineLevel="1" x14ac:dyDescent="0.25">
      <c r="A32" s="209" t="str">
        <f>ROUND(P32*100, 2)&amp;"% Avg. Fiscal Effort, "&amp;ROUND(Q32, 2)&amp;" Avg. Calendar Months"</f>
        <v>0% Avg. Fiscal Effort, 0 Avg. Calendar Months</v>
      </c>
      <c r="B32" s="55">
        <f>O32*J32</f>
        <v>0</v>
      </c>
      <c r="C32" s="55">
        <f>IF($J$5&gt;1,IF($U$2&lt;&gt;0,IF(O32*(1+$O$5)&lt;=$U$2,O32*K32*(1+$O$5),$U$2*K32),O32*K32*(1+$O$5)),0)</f>
        <v>0</v>
      </c>
      <c r="D32" s="55">
        <f>IF($J$5&gt;2,IF($U$2&lt;&gt;0,IF(O32*(1+$O$5)^2&lt;=$U$2,O32*L32*(1+$O$5)^2,$U$2*L32),O32*L32*(1+$O$5)^2),0)</f>
        <v>0</v>
      </c>
      <c r="E32" s="55">
        <f>IF($J$5&gt;3,IF($U$2&lt;&gt;0,IF(O32*(1+$O$5)^3&lt;=$U$2,O32*M32*(1+$O$5)^3,$U$2*M32),O32*M32*(1+$O$5)^3),0)</f>
        <v>0</v>
      </c>
      <c r="F32" s="55">
        <f>IF($J$5&gt;4,IF($U$2&lt;&gt;0,IF(O32*(1+$O$5)^4&lt;=$U$2,O32*N32*(1+$O$5)^4,$U$2*N32),O32*N32*(1+$O$5)^4),0)</f>
        <v>0</v>
      </c>
      <c r="G32" s="203">
        <f>SUM(B32:F32)</f>
        <v>0</v>
      </c>
      <c r="H32" s="210"/>
      <c r="I32" s="207" t="s">
        <v>26</v>
      </c>
      <c r="J32" s="17">
        <v>0</v>
      </c>
      <c r="K32" s="17">
        <f>IF($J$5&gt;1,J32,0)</f>
        <v>0</v>
      </c>
      <c r="L32" s="17">
        <f>IF($J$5&gt;2,K32,0)</f>
        <v>0</v>
      </c>
      <c r="M32" s="17">
        <f>IF($J$5&gt;3,L32,0)</f>
        <v>0</v>
      </c>
      <c r="N32" s="17">
        <f>IF($J$5&gt;4,M32,0)</f>
        <v>0</v>
      </c>
      <c r="O32" s="145">
        <f>IF(U35="F",IF($U$2&lt;&gt;0,IF(T35&gt;$U$2,$U$2,T35),T35),0)</f>
        <v>0</v>
      </c>
      <c r="P32" s="157">
        <f>SUM(J31:N31)/(ROUNDUP($J$5,0)*12)</f>
        <v>0</v>
      </c>
      <c r="Q32" s="156">
        <f>(SUM(J31:N31)/(CEILING($J$5*12,12)))*12</f>
        <v>0</v>
      </c>
      <c r="R32" s="12"/>
      <c r="S32" s="12"/>
      <c r="T32" s="208"/>
      <c r="U32" s="94"/>
      <c r="V32" s="94"/>
    </row>
    <row r="33" spans="1:22" outlineLevel="1" x14ac:dyDescent="0.25">
      <c r="A33" s="495" t="str">
        <f>ROUND(P32*100,2)&amp;"% Annualized Effort, "&amp;ROUND(Q33,2)&amp;" Avg. Academic Months
"&amp;IF(SUM(J34:N34)&gt;0," and "&amp;Q34 &amp;" Avg. Summer Months", "")</f>
        <v xml:space="preserve">0% Annualized Effort, 0 Avg. Academic Months
</v>
      </c>
      <c r="B33" s="55">
        <f>J33*O33</f>
        <v>0</v>
      </c>
      <c r="C33" s="55">
        <f>IF($J$5&gt;1,IF($U$2&lt;&gt;0,IF(O33*(1+$O$5)&lt;=$U$2*0.75,O33*K33*(1+$O$5),$U$2*0.75*K33),O33*K33*(1+$O$5)),0)</f>
        <v>0</v>
      </c>
      <c r="D33" s="55">
        <f>IF($J$5&gt;2,IF($U$2&lt;&gt;0,IF(O33*(1+$O$5)^2&lt;=$U$2*0.75,O33*L33*(1+$O$5)^2,$U$2*0.75*L33),O33*L33*(1+$O$5)^2),0)</f>
        <v>0</v>
      </c>
      <c r="E33" s="55">
        <f>IF($J$5&gt;3,IF($U$2&lt;&gt;0,IF(O33*(1+$O$5)^3&lt;=$U$2*0.75,O33*M33*(1+$O$5)^3,$U$2*0.75*M33),O33*M33*(1+$O$5)^3),0)</f>
        <v>0</v>
      </c>
      <c r="F33" s="55">
        <f>IF($J$5&gt;4,IF($U$2&lt;&gt;0,IF(O33*(1+$O$5)^4&lt;=$U$2*0.75,O33*N33*(1+$O$5)^4,$U$2*0.75*N33),O33*N33*(1+$O$5)^4),0)</f>
        <v>0</v>
      </c>
      <c r="G33" s="203">
        <f>SUM(B33:F33)</f>
        <v>0</v>
      </c>
      <c r="H33" s="210"/>
      <c r="I33" s="207" t="s">
        <v>15</v>
      </c>
      <c r="J33" s="17">
        <v>0</v>
      </c>
      <c r="K33" s="17">
        <f>IF($J$5&gt;1,J33,0)</f>
        <v>0</v>
      </c>
      <c r="L33" s="17">
        <f>IF($J$5&gt;2,K33,0)</f>
        <v>0</v>
      </c>
      <c r="M33" s="17">
        <f>IF($J$5&gt;3,L33,0)</f>
        <v>0</v>
      </c>
      <c r="N33" s="17">
        <f>IF($J$5&gt;4,M33,0)</f>
        <v>0</v>
      </c>
      <c r="O33" s="145">
        <f>IF(U35="A",IF($U$2&lt;&gt;0,IF(T35&gt;($U$2/12*9),($U$2/12*9),T35),T35),0)</f>
        <v>0</v>
      </c>
      <c r="P33" s="211"/>
      <c r="Q33" s="156">
        <f>((SUM(J31:N31)-SUM(J34:N34))/(CEILING($J$5*9,9)))*9</f>
        <v>0</v>
      </c>
      <c r="R33" s="12"/>
      <c r="S33" s="12"/>
      <c r="T33" s="208"/>
      <c r="U33" s="94"/>
      <c r="V33" s="94"/>
    </row>
    <row r="34" spans="1:22" outlineLevel="1" x14ac:dyDescent="0.25">
      <c r="A34" s="495"/>
      <c r="B34" s="55">
        <f>J34/3*O34</f>
        <v>0</v>
      </c>
      <c r="C34" s="55">
        <f>IF($J$5&gt;1,IF($U$2&lt;&gt;0,IF(O34*(1+$O$5)&lt;=$U$2*0.25,O34*K34/3*(1+$O$5),$U$2*0.25*K34/3),O34*K34/3*(1+$O$5)),0)</f>
        <v>0</v>
      </c>
      <c r="D34" s="55">
        <f>IF($J$5&gt;2,IF($U$2&lt;&gt;0,IF(O34*(1+$O$5)^2&lt;=$U$2*0.25,O34*L34/3*(1+$O$5)^2,$U$2*0.25*L34/3),O34*L34/3*(1+$O$5)^2),0)</f>
        <v>0</v>
      </c>
      <c r="E34" s="55">
        <f>IF($J$5&gt;3,IF($U$2&lt;&gt;0,IF(O34*(1+$O$5)^3&lt;=$U$2*0.25,O34*M34/3*(1+$O$5)^3,$U$2*0.25*M34/3),O34*M34/3*(1+$O$5)^3),0)</f>
        <v>0</v>
      </c>
      <c r="F34" s="55">
        <f>IF($J$5&gt;4,IF($U$2&lt;&gt;0,IF(O34*(1+$O$5)^4&lt;=$U$2*0.25,O34*N34/3*(1+$O$5)^4,$U$2*0.25*N34/3),O34*N34/3*(1+$O$5)^4),0)</f>
        <v>0</v>
      </c>
      <c r="G34" s="203">
        <f>SUM(B34:F34)</f>
        <v>0</v>
      </c>
      <c r="H34" s="210"/>
      <c r="I34" s="207" t="s">
        <v>17</v>
      </c>
      <c r="J34" s="16">
        <v>0</v>
      </c>
      <c r="K34" s="16">
        <f>IF($J$5&gt;1,J34,0)</f>
        <v>0</v>
      </c>
      <c r="L34" s="16">
        <f>IF($J$5&gt;2,K34,0)</f>
        <v>0</v>
      </c>
      <c r="M34" s="16">
        <f>IF($J$5&gt;3,L34,0)</f>
        <v>0</v>
      </c>
      <c r="N34" s="16">
        <f>IF($J$5&gt;4,M34,0)</f>
        <v>0</v>
      </c>
      <c r="O34" s="145">
        <f>IF(U35="A",IF($U$2&lt;&gt;0,IF(T35/9*3&gt;($U$2/12*3),($U$2/12*3),T35/9*3),T35/9*3),0)</f>
        <v>0</v>
      </c>
      <c r="P34" s="157"/>
      <c r="Q34" s="157">
        <f>((SUM(J31:N31)-SUM(J33:N33)*9)/(CEILING($J$5*3,3)))*3</f>
        <v>0</v>
      </c>
      <c r="R34" s="12"/>
      <c r="S34" s="12"/>
      <c r="T34" s="12"/>
      <c r="U34" s="94"/>
      <c r="V34" s="94"/>
    </row>
    <row r="35" spans="1:22" outlineLevel="1" x14ac:dyDescent="0.25">
      <c r="A35" s="212"/>
      <c r="B35" s="55"/>
      <c r="C35" s="55"/>
      <c r="D35" s="206"/>
      <c r="E35" s="206"/>
      <c r="F35" s="206"/>
      <c r="G35" s="213"/>
      <c r="H35" s="214"/>
      <c r="I35" s="207" t="s">
        <v>109</v>
      </c>
      <c r="J35" s="147">
        <f>SUM(B32:B34)*$V35</f>
        <v>0</v>
      </c>
      <c r="K35" s="147">
        <f>SUM(C32:C34)*$V35</f>
        <v>0</v>
      </c>
      <c r="L35" s="147">
        <f>SUM(D32:D34)*$V35</f>
        <v>0</v>
      </c>
      <c r="M35" s="147">
        <f>SUM(E32:E34)*$V35</f>
        <v>0</v>
      </c>
      <c r="N35" s="147">
        <f>SUM(F32:F34)*$V35</f>
        <v>0</v>
      </c>
      <c r="O35" s="146"/>
      <c r="P35" s="157"/>
      <c r="Q35" s="157"/>
      <c r="R35" s="12"/>
      <c r="S35" s="12"/>
      <c r="T35" s="215">
        <v>0</v>
      </c>
      <c r="U35" s="216"/>
      <c r="V35" s="217">
        <f>$J$79</f>
        <v>0</v>
      </c>
    </row>
    <row r="36" spans="1:22" outlineLevel="1" x14ac:dyDescent="0.25">
      <c r="A36" s="212"/>
      <c r="B36" s="55"/>
      <c r="C36" s="55"/>
      <c r="D36" s="206"/>
      <c r="E36" s="206"/>
      <c r="F36" s="206"/>
      <c r="G36" s="213"/>
      <c r="H36" s="214"/>
      <c r="I36" s="218"/>
      <c r="J36" s="91"/>
      <c r="K36" s="91"/>
      <c r="L36" s="91"/>
      <c r="M36" s="91"/>
      <c r="N36" s="91"/>
      <c r="O36" s="22"/>
      <c r="P36" s="157"/>
      <c r="Q36" s="157"/>
      <c r="R36" s="12"/>
      <c r="S36" s="12"/>
      <c r="T36" s="208"/>
      <c r="U36" s="94"/>
      <c r="V36" s="94"/>
    </row>
    <row r="37" spans="1:22" outlineLevel="1" x14ac:dyDescent="0.25">
      <c r="A37" s="205" t="s">
        <v>84</v>
      </c>
      <c r="B37" s="55"/>
      <c r="C37" s="206"/>
      <c r="D37" s="206"/>
      <c r="E37" s="206"/>
      <c r="F37" s="206"/>
      <c r="G37" s="203"/>
      <c r="I37" s="207" t="s">
        <v>128</v>
      </c>
      <c r="J37" s="5">
        <f>IF(U41="F",J38*12,SUM(J39*9,J40))</f>
        <v>0</v>
      </c>
      <c r="K37" s="5">
        <f>IF(U41="F",K38*12,SUM(K39*9,K40))</f>
        <v>0</v>
      </c>
      <c r="L37" s="5">
        <f>IF(U41="F",L38*12,SUM(L39*9,L40))</f>
        <v>0</v>
      </c>
      <c r="M37" s="5">
        <f>IF(U41="F",M38*12,SUM(M39*9,M40))</f>
        <v>0</v>
      </c>
      <c r="N37" s="5">
        <f>IF(U41="F",N38*12,SUM(N39*9,N40))</f>
        <v>0</v>
      </c>
      <c r="O37" s="49" t="s">
        <v>51</v>
      </c>
      <c r="P37" s="153" t="s">
        <v>126</v>
      </c>
      <c r="Q37" s="153" t="s">
        <v>127</v>
      </c>
      <c r="R37" s="11"/>
      <c r="S37" s="12"/>
      <c r="T37" s="208"/>
      <c r="U37" s="94"/>
      <c r="V37" s="94"/>
    </row>
    <row r="38" spans="1:22" outlineLevel="1" x14ac:dyDescent="0.25">
      <c r="A38" s="209" t="str">
        <f>ROUND(P38*100, 2)&amp;"% Avg. Fiscal Effort, "&amp;ROUND(Q38, 2)&amp;" Avg. Calendar Months"</f>
        <v>0% Avg. Fiscal Effort, 0 Avg. Calendar Months</v>
      </c>
      <c r="B38" s="55">
        <f>O38*J38</f>
        <v>0</v>
      </c>
      <c r="C38" s="55">
        <f>IF($J$5&gt;1,IF($U$2&lt;&gt;0,IF(O38*(1+$O$5)&lt;=$U$2,O38*K38*(1+$O$5),$U$2*K38),O38*K38*(1+$O$5)),0)</f>
        <v>0</v>
      </c>
      <c r="D38" s="55">
        <f>IF($J$5&gt;2,IF($U$2&lt;&gt;0,IF(O38*(1+$O$5)^2&lt;=$U$2,O38*L38*(1+$O$5)^2,$U$2*L38),O38*L38*(1+$O$5)^2),0)</f>
        <v>0</v>
      </c>
      <c r="E38" s="55">
        <f>IF($J$5&gt;3,IF($U$2&lt;&gt;0,IF(O38*(1+$O$5)^3&lt;=$U$2,O38*M38*(1+$O$5)^3,$U$2*M38),O38*M38*(1+$O$5)^3),0)</f>
        <v>0</v>
      </c>
      <c r="F38" s="55">
        <f>IF($J$5&gt;4,IF($U$2&lt;&gt;0,IF(O38*(1+$O$5)^4&lt;=$U$2,O38*N38*(1+$O$5)^4,$U$2*N38),O38*N38*(1+$O$5)^4),0)</f>
        <v>0</v>
      </c>
      <c r="G38" s="203">
        <f>SUM(B38:F38)</f>
        <v>0</v>
      </c>
      <c r="H38" s="210"/>
      <c r="I38" s="207" t="s">
        <v>26</v>
      </c>
      <c r="J38" s="17">
        <v>0</v>
      </c>
      <c r="K38" s="17">
        <f>IF($J$5&gt;1,J38,0)</f>
        <v>0</v>
      </c>
      <c r="L38" s="17">
        <f>IF($J$5&gt;2,K38,0)</f>
        <v>0</v>
      </c>
      <c r="M38" s="17">
        <f>IF($J$5&gt;3,L38,0)</f>
        <v>0</v>
      </c>
      <c r="N38" s="17">
        <f>IF($J$5&gt;4,M38,0)</f>
        <v>0</v>
      </c>
      <c r="O38" s="145">
        <f>IF(U41="F",IF($U$2&lt;&gt;0,IF(T41&gt;$U$2,$U$2,T41),T41),0)</f>
        <v>0</v>
      </c>
      <c r="P38" s="157">
        <f>SUM(J37:N37)/(ROUNDUP($J$5,0)*12)</f>
        <v>0</v>
      </c>
      <c r="Q38" s="156">
        <f>(SUM(J37:N37)/(CEILING($J$5*12,12)))*12</f>
        <v>0</v>
      </c>
      <c r="R38" s="12"/>
      <c r="S38" s="12"/>
      <c r="T38" s="208"/>
      <c r="U38" s="94"/>
      <c r="V38" s="94"/>
    </row>
    <row r="39" spans="1:22" ht="15.75" customHeight="1" outlineLevel="1" x14ac:dyDescent="0.25">
      <c r="A39" s="495" t="str">
        <f>ROUND(P38*100,2)&amp;"% Annualized Effort, "&amp;ROUND(Q39,2)&amp;" Avg. Academic Months
"&amp;IF(SUM(J40:N40)&gt;0," and "&amp;Q40 &amp;" Avg. Summer Months", "")</f>
        <v xml:space="preserve">0% Annualized Effort, 0 Avg. Academic Months
</v>
      </c>
      <c r="B39" s="55">
        <f>J39*O39</f>
        <v>0</v>
      </c>
      <c r="C39" s="55">
        <f>IF($J$5&gt;1,IF($U$2&lt;&gt;0,IF(O39*(1+$O$5)&lt;=$U$2*0.75,O39*K39*(1+$O$5),$U$2*0.75*K39),O39*K39*(1+$O$5)),0)</f>
        <v>0</v>
      </c>
      <c r="D39" s="55">
        <f>IF($J$5&gt;2,IF($U$2&lt;&gt;0,IF(O39*(1+$O$5)^2&lt;=$U$2*0.75,O39*L39*(1+$O$5)^2,$U$2*0.75*L39),O39*L39*(1+$O$5)^2),0)</f>
        <v>0</v>
      </c>
      <c r="E39" s="55">
        <f>IF($J$5&gt;3,IF($U$2&lt;&gt;0,IF(O39*(1+$O$5)^3&lt;=$U$2*0.75,O39*M39*(1+$O$5)^3,$U$2*0.75*M39),O39*M39*(1+$O$5)^3),0)</f>
        <v>0</v>
      </c>
      <c r="F39" s="55">
        <f>IF($J$5&gt;4,IF($U$2&lt;&gt;0,IF(O39*(1+$O$5)^4&lt;=$U$2*0.75,O39*N39*(1+$O$5)^4,$U$2*0.75*N39),O39*N39*(1+$O$5)^4),0)</f>
        <v>0</v>
      </c>
      <c r="G39" s="203">
        <f>SUM(B39:F39)</f>
        <v>0</v>
      </c>
      <c r="H39" s="210"/>
      <c r="I39" s="207" t="s">
        <v>15</v>
      </c>
      <c r="J39" s="17">
        <v>0</v>
      </c>
      <c r="K39" s="17">
        <f>IF($J$5&gt;1,J39,0)</f>
        <v>0</v>
      </c>
      <c r="L39" s="17">
        <f>IF($J$5&gt;2,K39,0)</f>
        <v>0</v>
      </c>
      <c r="M39" s="17">
        <f>IF($J$5&gt;3,L39,0)</f>
        <v>0</v>
      </c>
      <c r="N39" s="17">
        <f>IF($J$5&gt;4,M39,0)</f>
        <v>0</v>
      </c>
      <c r="O39" s="145">
        <f>IF(U41="A",IF($U$2&lt;&gt;0,IF(T41&gt;($U$2/12*9),($U$2/12*9),T41),T41),0)</f>
        <v>0</v>
      </c>
      <c r="P39" s="211"/>
      <c r="Q39" s="156">
        <f>((SUM(J37:N37)-SUM(J40:N40))/(CEILING($J$5*9,9)))*9</f>
        <v>0</v>
      </c>
      <c r="R39" s="12"/>
      <c r="S39" s="12"/>
      <c r="T39" s="208"/>
      <c r="U39" s="94"/>
      <c r="V39" s="94"/>
    </row>
    <row r="40" spans="1:22" outlineLevel="1" x14ac:dyDescent="0.25">
      <c r="A40" s="495"/>
      <c r="B40" s="55">
        <f>J40/3*O40</f>
        <v>0</v>
      </c>
      <c r="C40" s="55">
        <f>IF($J$5&gt;1,IF($U$2&lt;&gt;0,IF(O40*(1+$O$5)&lt;=$U$2*0.25,O40*K40/3*(1+$O$5),$U$2*0.25*K40/3),O40*K40/3*(1+$O$5)),0)</f>
        <v>0</v>
      </c>
      <c r="D40" s="55">
        <f>IF($J$5&gt;2,IF($U$2&lt;&gt;0,IF(O40*(1+$O$5)^2&lt;=$U$2*0.25,O40*L40/3*(1+$O$5)^2,$U$2*0.25*L40/3),O40*L40/3*(1+$O$5)^2),0)</f>
        <v>0</v>
      </c>
      <c r="E40" s="55">
        <f>IF($J$5&gt;3,IF($U$2&lt;&gt;0,IF(O40*(1+$O$5)^3&lt;=$U$2*0.25,O40*M40/3*(1+$O$5)^3,$U$2*0.25*M40/3),O40*M40/3*(1+$O$5)^3),0)</f>
        <v>0</v>
      </c>
      <c r="F40" s="55">
        <f>IF($J$5&gt;4,IF($U$2&lt;&gt;0,IF(O40*(1+$O$5)^4&lt;=$U$2*0.25,O40*N40/3*(1+$O$5)^4,$U$2*0.25*N40/3),O40*N40/3*(1+$O$5)^4),0)</f>
        <v>0</v>
      </c>
      <c r="G40" s="203">
        <f>SUM(B40:F40)</f>
        <v>0</v>
      </c>
      <c r="H40" s="210"/>
      <c r="I40" s="207" t="s">
        <v>17</v>
      </c>
      <c r="J40" s="16">
        <v>0</v>
      </c>
      <c r="K40" s="16">
        <f>IF($J$5&gt;1,J40,0)</f>
        <v>0</v>
      </c>
      <c r="L40" s="16">
        <f>IF($J$5&gt;2,K40,0)</f>
        <v>0</v>
      </c>
      <c r="M40" s="16">
        <f>IF($J$5&gt;3,L40,0)</f>
        <v>0</v>
      </c>
      <c r="N40" s="16">
        <f>IF($J$5&gt;4,M40,0)</f>
        <v>0</v>
      </c>
      <c r="O40" s="145">
        <f>IF(U41="A",IF($U$2&lt;&gt;0,IF(T41/9*3&gt;($U$2/12*3),($U$2/12*3),T41/9*3),T41/9*3),0)</f>
        <v>0</v>
      </c>
      <c r="P40" s="157"/>
      <c r="Q40" s="157">
        <f>((SUM(J37:N37)-SUM(J39:N39)*9)/(CEILING($J$5*3,3)))*3</f>
        <v>0</v>
      </c>
      <c r="R40" s="12"/>
      <c r="S40" s="12"/>
      <c r="T40" s="12"/>
      <c r="U40" s="94"/>
      <c r="V40" s="94"/>
    </row>
    <row r="41" spans="1:22" outlineLevel="1" x14ac:dyDescent="0.25">
      <c r="A41" s="212"/>
      <c r="B41" s="55"/>
      <c r="C41" s="55"/>
      <c r="D41" s="206"/>
      <c r="E41" s="206"/>
      <c r="F41" s="206"/>
      <c r="G41" s="213"/>
      <c r="H41" s="214"/>
      <c r="I41" s="207" t="s">
        <v>109</v>
      </c>
      <c r="J41" s="147">
        <f>SUM(B38:B40)*$V41</f>
        <v>0</v>
      </c>
      <c r="K41" s="147">
        <f>SUM(C38:C40)*$V41</f>
        <v>0</v>
      </c>
      <c r="L41" s="147">
        <f>SUM(D38:D40)*$V41</f>
        <v>0</v>
      </c>
      <c r="M41" s="147">
        <f>SUM(E38:E40)*$V41</f>
        <v>0</v>
      </c>
      <c r="N41" s="147">
        <f>SUM(F38:F40)*$V41</f>
        <v>0</v>
      </c>
      <c r="O41" s="146"/>
      <c r="P41" s="157"/>
      <c r="Q41" s="157"/>
      <c r="R41" s="12"/>
      <c r="S41" s="12"/>
      <c r="T41" s="215">
        <v>0</v>
      </c>
      <c r="U41" s="216"/>
      <c r="V41" s="217">
        <f>$J$79</f>
        <v>0</v>
      </c>
    </row>
    <row r="42" spans="1:22" outlineLevel="1" x14ac:dyDescent="0.25">
      <c r="A42" s="212"/>
      <c r="B42" s="55"/>
      <c r="C42" s="55"/>
      <c r="D42" s="206"/>
      <c r="E42" s="206"/>
      <c r="F42" s="206"/>
      <c r="G42" s="213"/>
      <c r="H42" s="214"/>
      <c r="I42" s="218"/>
      <c r="J42" s="91"/>
      <c r="K42" s="91"/>
      <c r="L42" s="91"/>
      <c r="M42" s="91"/>
      <c r="N42" s="91"/>
      <c r="O42" s="22"/>
      <c r="P42" s="157"/>
      <c r="Q42" s="157"/>
      <c r="R42" s="12"/>
      <c r="S42" s="12"/>
      <c r="T42" s="208"/>
      <c r="U42" s="94"/>
      <c r="V42" s="94"/>
    </row>
    <row r="43" spans="1:22" outlineLevel="1" x14ac:dyDescent="0.25">
      <c r="A43" s="209"/>
      <c r="B43" s="55"/>
      <c r="C43" s="55"/>
      <c r="D43" s="55"/>
      <c r="E43" s="55"/>
      <c r="F43" s="55"/>
      <c r="G43" s="203"/>
      <c r="H43" s="210"/>
      <c r="I43" s="219"/>
      <c r="J43" s="5" t="s">
        <v>6</v>
      </c>
      <c r="K43" s="5" t="s">
        <v>5</v>
      </c>
      <c r="L43" s="5" t="s">
        <v>7</v>
      </c>
      <c r="M43" s="5" t="s">
        <v>8</v>
      </c>
      <c r="N43" s="5" t="s">
        <v>9</v>
      </c>
      <c r="O43" s="102" t="s">
        <v>51</v>
      </c>
      <c r="P43" s="157"/>
      <c r="Q43" s="157"/>
      <c r="R43" s="12"/>
      <c r="S43" s="12"/>
      <c r="T43" s="12"/>
      <c r="U43" s="208"/>
      <c r="V43" s="94"/>
    </row>
    <row r="44" spans="1:22" outlineLevel="1" x14ac:dyDescent="0.25">
      <c r="A44" s="205" t="str">
        <f>"TBN, Post-doc ("&amp;J44&amp;")"</f>
        <v>TBN, Post-doc ()</v>
      </c>
      <c r="B44" s="55"/>
      <c r="C44" s="55"/>
      <c r="D44" s="206"/>
      <c r="E44" s="206"/>
      <c r="F44" s="206"/>
      <c r="G44" s="203"/>
      <c r="H44" s="210"/>
      <c r="I44" s="207" t="s">
        <v>16</v>
      </c>
      <c r="J44" s="24"/>
      <c r="K44" s="125"/>
      <c r="L44" s="125"/>
      <c r="M44" s="125"/>
      <c r="N44" s="125"/>
      <c r="O44" s="15"/>
      <c r="P44" s="157"/>
      <c r="Q44" s="157"/>
      <c r="R44" s="12"/>
      <c r="S44" s="12"/>
      <c r="T44" s="12"/>
      <c r="U44" s="94"/>
      <c r="V44" s="94"/>
    </row>
    <row r="45" spans="1:22" outlineLevel="1" x14ac:dyDescent="0.25">
      <c r="A45" s="209" t="str">
        <f>ROUND(J45*100,2)&amp;"% FY Effort, "&amp;ROUND(J45*12,2)&amp;" Calendar Months"</f>
        <v>0% FY Effort, 0 Calendar Months</v>
      </c>
      <c r="B45" s="55">
        <f>J44*O44*J45</f>
        <v>0</v>
      </c>
      <c r="C45" s="55">
        <f>IF($J$5&gt;1, O44*K45*(1+$O$5), 0)</f>
        <v>0</v>
      </c>
      <c r="D45" s="55">
        <f>IF($J$5&gt;2, O44*L45*(1+$O$5)^2, 0)</f>
        <v>0</v>
      </c>
      <c r="E45" s="55">
        <f>IF($J$5&gt;3, O44*M45*(1+$O$5)^3, 0)</f>
        <v>0</v>
      </c>
      <c r="F45" s="55">
        <f>IF($J$5&gt;4, O44*N45*(1+$O$5)^4, 0)</f>
        <v>0</v>
      </c>
      <c r="G45" s="203">
        <f>SUM(B45:F45)</f>
        <v>0</v>
      </c>
      <c r="H45" s="210"/>
      <c r="I45" s="220" t="s">
        <v>26</v>
      </c>
      <c r="J45" s="26">
        <v>0</v>
      </c>
      <c r="K45" s="26">
        <f>IF($J$5&gt;1,J45,0)</f>
        <v>0</v>
      </c>
      <c r="L45" s="26">
        <f>IF($J$5&gt;2,K45,0)</f>
        <v>0</v>
      </c>
      <c r="M45" s="26">
        <f>IF($J$5&gt;3,L45,0)</f>
        <v>0</v>
      </c>
      <c r="N45" s="26">
        <f>IF($J$5&gt;4,M45,0)</f>
        <v>0</v>
      </c>
      <c r="O45" s="22"/>
      <c r="P45" s="157"/>
      <c r="Q45" s="157"/>
      <c r="R45" s="12"/>
      <c r="S45" s="12"/>
      <c r="T45" s="12"/>
      <c r="U45" s="94"/>
      <c r="V45" s="94"/>
    </row>
    <row r="46" spans="1:22" outlineLevel="1" x14ac:dyDescent="0.25">
      <c r="A46" s="209"/>
      <c r="B46" s="55"/>
      <c r="C46" s="55"/>
      <c r="D46" s="56"/>
      <c r="E46" s="56"/>
      <c r="F46" s="56"/>
      <c r="G46" s="203"/>
      <c r="H46" s="210"/>
      <c r="I46" s="221"/>
      <c r="J46" s="1"/>
      <c r="K46" s="1"/>
      <c r="L46" s="1"/>
      <c r="M46" s="1"/>
      <c r="N46" s="1"/>
      <c r="O46" s="49" t="s">
        <v>51</v>
      </c>
      <c r="P46" s="157"/>
      <c r="Q46" s="157"/>
      <c r="R46" s="12"/>
      <c r="S46" s="12"/>
      <c r="T46" s="12"/>
      <c r="U46" s="94"/>
      <c r="V46" s="94"/>
    </row>
    <row r="47" spans="1:22" outlineLevel="1" x14ac:dyDescent="0.25">
      <c r="A47" s="205" t="str">
        <f>"TBN, Post-doc ("&amp;J47&amp;")"</f>
        <v>TBN, Post-doc ()</v>
      </c>
      <c r="B47" s="55"/>
      <c r="C47" s="55"/>
      <c r="D47" s="56"/>
      <c r="E47" s="56"/>
      <c r="F47" s="56"/>
      <c r="G47" s="203"/>
      <c r="H47" s="210"/>
      <c r="I47" s="207" t="s">
        <v>16</v>
      </c>
      <c r="J47" s="24"/>
      <c r="K47" s="125"/>
      <c r="L47" s="125"/>
      <c r="M47" s="125"/>
      <c r="N47" s="125"/>
      <c r="O47" s="15"/>
      <c r="P47" s="157"/>
      <c r="Q47" s="157"/>
      <c r="R47" s="12"/>
      <c r="S47" s="12"/>
      <c r="T47" s="12"/>
      <c r="U47" s="94"/>
      <c r="V47" s="94"/>
    </row>
    <row r="48" spans="1:22" outlineLevel="1" x14ac:dyDescent="0.25">
      <c r="A48" s="209" t="str">
        <f>ROUND(J48*100,2)&amp;"% FY Effort, "&amp;ROUND(J48*12,2)&amp;" Calendar Months"</f>
        <v>0% FY Effort, 0 Calendar Months</v>
      </c>
      <c r="B48" s="55">
        <f>J47*O47*J48</f>
        <v>0</v>
      </c>
      <c r="C48" s="55">
        <f>IF($J$5&gt;1, O47*K48*(1+$O$5), 0)</f>
        <v>0</v>
      </c>
      <c r="D48" s="55">
        <f>IF($J$5&gt;2, O47*L48*(1+$O$5)^2, 0)</f>
        <v>0</v>
      </c>
      <c r="E48" s="55">
        <f>IF($J$5&gt;3, O47*M48*(1+$O$5)^3, 0)</f>
        <v>0</v>
      </c>
      <c r="F48" s="55">
        <f>IF($J$5&gt;4, O47*N48*(1+$O$5)^4, 0)</f>
        <v>0</v>
      </c>
      <c r="G48" s="203">
        <f>SUM(B48:F48)</f>
        <v>0</v>
      </c>
      <c r="H48" s="210"/>
      <c r="I48" s="220" t="s">
        <v>26</v>
      </c>
      <c r="J48" s="26">
        <v>0</v>
      </c>
      <c r="K48" s="26">
        <f>IF($J$5&gt;1,J48,0)</f>
        <v>0</v>
      </c>
      <c r="L48" s="26">
        <f>IF($J$5&gt;2,K48,0)</f>
        <v>0</v>
      </c>
      <c r="M48" s="26">
        <f>IF($J$5&gt;3,L48,0)</f>
        <v>0</v>
      </c>
      <c r="N48" s="26">
        <f>IF($J$5&gt;4,M48,0)</f>
        <v>0</v>
      </c>
      <c r="O48" s="22"/>
      <c r="P48" s="157"/>
      <c r="Q48" s="157"/>
      <c r="R48" s="12"/>
      <c r="S48" s="12"/>
      <c r="T48" s="12"/>
      <c r="U48" s="94"/>
      <c r="V48" s="94"/>
    </row>
    <row r="49" spans="1:22" outlineLevel="1" x14ac:dyDescent="0.25">
      <c r="A49" s="209"/>
      <c r="B49" s="55"/>
      <c r="C49" s="55"/>
      <c r="D49" s="55"/>
      <c r="E49" s="55"/>
      <c r="F49" s="55"/>
      <c r="G49" s="203"/>
      <c r="H49" s="210"/>
      <c r="I49" s="221"/>
      <c r="J49" s="1"/>
      <c r="K49" s="1"/>
      <c r="L49" s="1"/>
      <c r="M49" s="1"/>
      <c r="N49" s="1"/>
      <c r="O49" s="49" t="s">
        <v>51</v>
      </c>
      <c r="P49" s="157"/>
      <c r="Q49" s="157"/>
      <c r="R49" s="12"/>
      <c r="S49" s="12"/>
      <c r="T49" s="12"/>
      <c r="U49" s="94"/>
      <c r="V49" s="94"/>
    </row>
    <row r="50" spans="1:22" outlineLevel="1" x14ac:dyDescent="0.25">
      <c r="A50" s="205" t="str">
        <f>"TBN, Post-doc ("&amp;J50&amp;")"</f>
        <v>TBN, Post-doc ()</v>
      </c>
      <c r="B50" s="55"/>
      <c r="C50" s="55"/>
      <c r="D50" s="55"/>
      <c r="E50" s="55"/>
      <c r="F50" s="55"/>
      <c r="G50" s="203"/>
      <c r="H50" s="210"/>
      <c r="I50" s="207" t="s">
        <v>16</v>
      </c>
      <c r="J50" s="24"/>
      <c r="K50" s="125"/>
      <c r="L50" s="125"/>
      <c r="M50" s="125"/>
      <c r="N50" s="125"/>
      <c r="O50" s="15"/>
      <c r="P50" s="157"/>
      <c r="Q50" s="157"/>
      <c r="R50" s="12"/>
      <c r="S50" s="12"/>
      <c r="T50" s="12"/>
      <c r="U50" s="94"/>
      <c r="V50" s="94"/>
    </row>
    <row r="51" spans="1:22" outlineLevel="1" x14ac:dyDescent="0.25">
      <c r="A51" s="209" t="str">
        <f>ROUND(J51*100,2)&amp;"% FY Effort, "&amp;ROUND(J51*12,2)&amp;" Calendar Months"</f>
        <v>0% FY Effort, 0 Calendar Months</v>
      </c>
      <c r="B51" s="55">
        <f>J50*O50*J51</f>
        <v>0</v>
      </c>
      <c r="C51" s="55">
        <f>IF($J$5&gt;1, O50*K51*(1+$O$5), 0)</f>
        <v>0</v>
      </c>
      <c r="D51" s="55">
        <f>IF($J$5&gt;2, O50*L51*(1+$O$5)^2, 0)</f>
        <v>0</v>
      </c>
      <c r="E51" s="55">
        <f>IF($J$5&gt;3, O50*M51*(1+$O$5)^3, 0)</f>
        <v>0</v>
      </c>
      <c r="F51" s="55">
        <f>IF($J$5&gt;4, O50*N51*(1+$O$5)^4, 0)</f>
        <v>0</v>
      </c>
      <c r="G51" s="203">
        <f>SUM(B51:F51)</f>
        <v>0</v>
      </c>
      <c r="H51" s="210"/>
      <c r="I51" s="220" t="s">
        <v>26</v>
      </c>
      <c r="J51" s="26">
        <v>0</v>
      </c>
      <c r="K51" s="26">
        <f>IF($J$5&gt;1,J51,0)</f>
        <v>0</v>
      </c>
      <c r="L51" s="26">
        <f>IF($J$5&gt;2,K51,0)</f>
        <v>0</v>
      </c>
      <c r="M51" s="26">
        <f>IF($J$5&gt;3,L51,0)</f>
        <v>0</v>
      </c>
      <c r="N51" s="26">
        <f>IF($J$5&gt;4,M51,0)</f>
        <v>0</v>
      </c>
      <c r="O51" s="22"/>
      <c r="P51" s="157"/>
      <c r="Q51" s="157"/>
      <c r="R51" s="12"/>
      <c r="S51" s="12"/>
      <c r="T51" s="12"/>
      <c r="U51" s="94"/>
      <c r="V51" s="94"/>
    </row>
    <row r="52" spans="1:22" outlineLevel="1" x14ac:dyDescent="0.25">
      <c r="B52" s="55"/>
      <c r="C52" s="55"/>
      <c r="D52" s="56"/>
      <c r="E52" s="56"/>
      <c r="F52" s="56"/>
      <c r="G52" s="203"/>
      <c r="H52" s="210"/>
      <c r="I52" s="197" t="s">
        <v>48</v>
      </c>
      <c r="J52" s="105" t="b">
        <f>IF(J54&gt;0%,IF(J54&lt;50%,IF(J54&gt;0,($U$3/2),0),$U$3),IF(J55&gt;0%,IF(J55&lt;50%,IF(J55&gt;0,($U$3/2),0),$U$3)))</f>
        <v>0</v>
      </c>
      <c r="K52" s="105" t="b">
        <f>IF(K54&gt;0%,IF(K54&lt;50%,IF(K54&gt;0,(($U$3*(1+$V$3))/2),0),($U$3*(1+$V$3))),IF(K55&gt;0%,IF(K55&lt;50%,IF(K55&gt;0,(($U$3*(1+$V$3))/2),0),($U$3*(1+$V$3)))))</f>
        <v>0</v>
      </c>
      <c r="L52" s="105" t="b">
        <f>IF(L54&gt;0%,IF(L54&lt;50%,IF(L54&gt;0,(($U$3*(1+$V$3)^2)/2),0),($U$3*(1+$V$3)^2)),IF(L55&gt;0%,IF(L55&lt;50%,IF(L55&gt;0,(($U$3*(1+$V$3)^2)/2),0),($U$3*(1+$V$3)^2))))</f>
        <v>0</v>
      </c>
      <c r="M52" s="105" t="b">
        <f>IF(M54&gt;0%,IF(M54&lt;50%,IF(M54&gt;0,(($U$3*(1+$V$3)^3)/2),0),($U$3*(1+$V$3)^3)),IF(M55&gt;0%,IF(M55&lt;50%,IF(M55&gt;0,(($U$3*(1+$V$3)^3)/2),0),($U$3*(1+$V$3)^3))))</f>
        <v>0</v>
      </c>
      <c r="N52" s="105" t="b">
        <f>IF(N54&gt;0%,IF(N54&lt;50%,IF(N54&gt;0,(($U$3*(1+$V$3)^4)/2),0),($U$3*(1+$V$3)^4)),IF(N55&gt;0%,IF(N55&lt;50%,IF(N55&gt;0,(($U$3*(1+$V$3)^4)/2),0),($U$3*(1+$V$3)^4))))</f>
        <v>0</v>
      </c>
      <c r="O52" s="49" t="s">
        <v>51</v>
      </c>
      <c r="P52" s="153"/>
      <c r="Q52" s="153"/>
      <c r="R52" s="12"/>
      <c r="S52" s="222"/>
      <c r="T52"/>
      <c r="U52"/>
      <c r="V52" s="94"/>
    </row>
    <row r="53" spans="1:22" outlineLevel="1" x14ac:dyDescent="0.25">
      <c r="A53" s="205" t="s">
        <v>85</v>
      </c>
      <c r="B53" s="55"/>
      <c r="C53" s="55"/>
      <c r="D53" s="56"/>
      <c r="E53" s="56"/>
      <c r="F53" s="56"/>
      <c r="G53" s="203"/>
      <c r="H53" s="210"/>
      <c r="I53" s="207" t="s">
        <v>128</v>
      </c>
      <c r="J53" s="5">
        <f>IF($U53="F",J54*12,SUM(J55*9,J56))</f>
        <v>0</v>
      </c>
      <c r="K53" s="5">
        <f>IF($U53="F",K54*12,SUM(K55*9,K56))</f>
        <v>0</v>
      </c>
      <c r="L53" s="5">
        <f>IF($U53="F",L54*12,SUM(L55*9,L56))</f>
        <v>0</v>
      </c>
      <c r="M53" s="5">
        <f>IF($U53="F",M54*12,SUM(M55*9,M56))</f>
        <v>0</v>
      </c>
      <c r="N53" s="5">
        <f>IF($U53="F",N54*12,SUM(N55*9,N56))</f>
        <v>0</v>
      </c>
      <c r="O53" s="49"/>
      <c r="P53" s="153" t="s">
        <v>126</v>
      </c>
      <c r="Q53" s="153" t="s">
        <v>127</v>
      </c>
      <c r="R53" s="12"/>
      <c r="S53" s="12"/>
      <c r="T53" s="215">
        <v>0</v>
      </c>
      <c r="U53" s="216"/>
    </row>
    <row r="54" spans="1:22" outlineLevel="1" x14ac:dyDescent="0.25">
      <c r="A54" s="209" t="str">
        <f>ROUND(P54*100, 2)&amp;"% Avg. Fiscal Effort, "&amp;ROUND(Q54, 2)&amp;" Avg. Calendar Months"</f>
        <v>0% Avg. Fiscal Effort, 0 Avg. Calendar Months</v>
      </c>
      <c r="B54" s="55">
        <f>O54*J54</f>
        <v>0</v>
      </c>
      <c r="C54" s="55">
        <f>IF($J$5&gt;1,IF($U$2&lt;&gt;0,IF(O54*(1+$O$5)&lt;=$U$2,O54*K54*(1+$O$5),$U$2*K54),O54*K54*(1+$O$5)),0)</f>
        <v>0</v>
      </c>
      <c r="D54" s="55">
        <f>IF($J$5&gt;2,IF($U$2&lt;&gt;0,IF(O54*(1+$O$5)^2&lt;=$U$2,O54*L54*(1+$O$5)^2,$U$2*L54),O54*L54*(1+$O$5)^2),0)</f>
        <v>0</v>
      </c>
      <c r="E54" s="55">
        <f>IF($J$5&gt;3,IF($U$2&lt;&gt;0,IF(O54*(1+$O$5)^3&lt;=$U$2,O54*M54*(1+$O$5)^3,$U$2*M54),O54*M54*(1+$O$5)^3),0)</f>
        <v>0</v>
      </c>
      <c r="F54" s="55">
        <f>IF($J$5&gt;4,IF($U$2&lt;&gt;0,IF(O54*(1+$O$5)^4&lt;=$U$2,O54*N54*(1+$O$5)^4,$U$2*N54),O54*N54*(1+$O$5)^4),0)</f>
        <v>0</v>
      </c>
      <c r="G54" s="203">
        <f>SUM(B54:F54)</f>
        <v>0</v>
      </c>
      <c r="H54" s="210"/>
      <c r="I54" s="207" t="s">
        <v>26</v>
      </c>
      <c r="J54" s="17">
        <v>0</v>
      </c>
      <c r="K54" s="17">
        <f>IF($J$5&gt;1,J54,0)</f>
        <v>0</v>
      </c>
      <c r="L54" s="17">
        <f>IF($J$5&gt;2,K54,0)</f>
        <v>0</v>
      </c>
      <c r="M54" s="17">
        <f>IF($J$5&gt;3,L54,0)</f>
        <v>0</v>
      </c>
      <c r="N54" s="17">
        <f>IF($J$5&gt;4,M54,0)</f>
        <v>0</v>
      </c>
      <c r="O54" s="145">
        <f>IF(U53="F",IF($U$2&lt;&gt;0,IF(T53&gt;$U$2,$U$2,T53),T53),0)</f>
        <v>0</v>
      </c>
      <c r="P54" s="157">
        <f>SUM(J53:N53)/(ROUNDUP($J$5,0)*12)</f>
        <v>0</v>
      </c>
      <c r="Q54" s="156">
        <f>(SUM(J53:N53)/(CEILING($J$5*12,12)))*12</f>
        <v>0</v>
      </c>
      <c r="R54" s="12"/>
      <c r="S54" s="12"/>
      <c r="T54" s="208"/>
      <c r="U54" s="94"/>
      <c r="V54" s="94"/>
    </row>
    <row r="55" spans="1:22" outlineLevel="1" x14ac:dyDescent="0.25">
      <c r="A55" s="495" t="str">
        <f>ROUND(P54*100,2)&amp;"% Annualized Effort, "&amp;ROUND(Q55,2)&amp;" Avg. Academic Months
"&amp;IF(SUM(J56:N56)&gt;0," and "&amp;Q56 &amp;" Avg. Summer Months", "")</f>
        <v xml:space="preserve">0% Annualized Effort, 0 Avg. Academic Months
</v>
      </c>
      <c r="B55" s="55">
        <f>J55*O55</f>
        <v>0</v>
      </c>
      <c r="C55" s="55">
        <f>IF($J$5&gt;1,IF($U$2&lt;&gt;0,IF(O55*(1+$O$5)&lt;=$U$2*0.75,O55*K55*(1+$O$5),$U$2*0.75*K55),O55*K55*(1+$O$5)),0)</f>
        <v>0</v>
      </c>
      <c r="D55" s="55">
        <f>IF($J$5&gt;2,IF($U$2&lt;&gt;0,IF(O55*(1+$O$5)^2&lt;=$U$2*0.75,O55*L55*(1+$O$5)^2,$U$2*0.75*L55),O55*L55*(1+$O$5)^2),0)</f>
        <v>0</v>
      </c>
      <c r="E55" s="55">
        <f>IF($J$5&gt;3,IF($U$2&lt;&gt;0,IF(O55*(1+$O$5)^3&lt;=$U$2*0.75,O55*M55*(1+$O$5)^3,$U$2*0.75*M55),O55*M55*(1+$O$5)^3),0)</f>
        <v>0</v>
      </c>
      <c r="F55" s="55">
        <f>IF($J$5&gt;4,IF($U$2&lt;&gt;0,IF(O55*(1+$O$5)^4&lt;=$U$2*0.75,O55*N55*(1+$O$5)^4,$U$2*0.75*N55),O55*N55*(1+$O$5)^4),0)</f>
        <v>0</v>
      </c>
      <c r="G55" s="203">
        <f>SUM(B55:F55)</f>
        <v>0</v>
      </c>
      <c r="H55" s="210"/>
      <c r="I55" s="207" t="s">
        <v>15</v>
      </c>
      <c r="J55" s="17">
        <v>0</v>
      </c>
      <c r="K55" s="17">
        <f>IF($J$5&gt;1,J55,0)</f>
        <v>0</v>
      </c>
      <c r="L55" s="17">
        <f>IF($J$5&gt;2,K55,0)</f>
        <v>0</v>
      </c>
      <c r="M55" s="17">
        <f>IF($J$5&gt;3,L55,0)</f>
        <v>0</v>
      </c>
      <c r="N55" s="17">
        <f>IF($J$5&gt;4,M55,0)</f>
        <v>0</v>
      </c>
      <c r="O55" s="145">
        <f>IF(U53="A",IF($U$2&lt;&gt;0,IF(T53&gt;($U$2/12*9),($U$2/12*9),T53),T53),0)</f>
        <v>0</v>
      </c>
      <c r="P55" s="211"/>
      <c r="Q55" s="156">
        <f>((SUM(J53:N53)-SUM(J56:N56))/(CEILING($J$5*9,9)))*9</f>
        <v>0</v>
      </c>
      <c r="R55" s="12"/>
      <c r="S55" s="12"/>
      <c r="T55" s="208"/>
      <c r="U55" s="94"/>
      <c r="V55" s="94"/>
    </row>
    <row r="56" spans="1:22" outlineLevel="1" x14ac:dyDescent="0.25">
      <c r="A56" s="495"/>
      <c r="B56" s="55">
        <f>J56/3*O56</f>
        <v>0</v>
      </c>
      <c r="C56" s="55">
        <f>IF($J$5&gt;1,IF($U$2&lt;&gt;0,IF(O56*(1+$O$5)&lt;=$U$2*0.25,O56*K56/3*(1+$O$5),$U$2*0.25*K56/3),O56*K56/3*(1+$O$5)),0)</f>
        <v>0</v>
      </c>
      <c r="D56" s="55">
        <f>IF($J$5&gt;2,IF($U$2&lt;&gt;0,IF(O56*(1+$O$5)^2&lt;=$U$2*0.25,O56*L56/3*(1+$O$5)^2,$U$2*0.25*L56/3),O56*L56/3*(1+$O$5)^2),0)</f>
        <v>0</v>
      </c>
      <c r="E56" s="55">
        <f>IF($J$5&gt;3,IF($U$2&lt;&gt;0,IF(O56*(1+$O$5)^3&lt;=$U$2*0.25,O56*M56/3*(1+$O$5)^3,$U$2*0.25*M56/3),O56*M56/3*(1+$O$5)^3),0)</f>
        <v>0</v>
      </c>
      <c r="F56" s="55">
        <f>IF($J$5&gt;4,IF($U$2&lt;&gt;0,IF(O56*(1+$O$5)^4&lt;=$U$2*0.25,O56*N56/3*(1+$O$5)^4,$U$2*0.25*N56/3),O56*N56/3*(1+$O$5)^4),0)</f>
        <v>0</v>
      </c>
      <c r="G56" s="203">
        <f>SUM(B56:F56)</f>
        <v>0</v>
      </c>
      <c r="H56" s="210"/>
      <c r="I56" s="220" t="s">
        <v>17</v>
      </c>
      <c r="J56" s="188">
        <v>0</v>
      </c>
      <c r="K56" s="188">
        <f>IF($J$5&gt;1,J56,0)</f>
        <v>0</v>
      </c>
      <c r="L56" s="188">
        <f>IF($J$5&gt;2,K56,0)</f>
        <v>0</v>
      </c>
      <c r="M56" s="188">
        <f>IF($J$5&gt;3,L56,0)</f>
        <v>0</v>
      </c>
      <c r="N56" s="188">
        <f>IF($J$5&gt;4,M56,0)</f>
        <v>0</v>
      </c>
      <c r="O56" s="167">
        <f>IF(U53="A",IF($U$2&lt;&gt;0,IF(T53/9*3&gt;($U$2/12*3),($U$2/12*3),T53/9*3),T53/9*3),0)</f>
        <v>0</v>
      </c>
      <c r="P56" s="157"/>
      <c r="Q56" s="157">
        <f>((SUM(J53:N53)-SUM(J55:N55)*9)/(CEILING($J$5*3,3)))*3</f>
        <v>0</v>
      </c>
      <c r="R56" s="12"/>
      <c r="S56" s="12"/>
      <c r="T56" s="12"/>
      <c r="U56" s="94"/>
      <c r="V56" s="217"/>
    </row>
    <row r="57" spans="1:22" outlineLevel="1" x14ac:dyDescent="0.25">
      <c r="B57" s="55"/>
      <c r="C57" s="55"/>
      <c r="D57" s="56"/>
      <c r="E57" s="56"/>
      <c r="F57" s="56"/>
      <c r="G57" s="203"/>
      <c r="H57" s="210"/>
      <c r="I57" s="197" t="s">
        <v>48</v>
      </c>
      <c r="J57" s="105" t="b">
        <f>IF(J59&gt;0%,IF(J59&lt;50%,IF(J59&gt;0,($U$3/2),0),$U$3),IF(J60&gt;0%,IF(J60&lt;50%,IF(J60&gt;0,($U$3/2),0),$U$3)))</f>
        <v>0</v>
      </c>
      <c r="K57" s="105" t="b">
        <f>IF(K59&gt;0%,IF(K59&lt;50%,IF(K59&gt;0,(($U$3*(1+$V$3))/2),0),($U$3*(1+$V$3))),IF(K60&gt;0%,IF(K60&lt;50%,IF(K60&gt;0,(($U$3*(1+$V$3))/2),0),($U$3*(1+$V$3)))))</f>
        <v>0</v>
      </c>
      <c r="L57" s="105" t="b">
        <f>IF(L59&gt;0%,IF(L59&lt;50%,IF(L59&gt;0,(($U$3*(1+$V$3)^2)/2),0),($U$3*(1+$V$3)^2)),IF(L60&gt;0%,IF(L60&lt;50%,IF(L60&gt;0,(($U$3*(1+$V$3)^2)/2),0),($U$3*(1+$V$3)^2))))</f>
        <v>0</v>
      </c>
      <c r="M57" s="105" t="b">
        <f>IF(M59&gt;0%,IF(M59&lt;50%,IF(M59&gt;0,(($U$3*(1+$V$3)^3)/2),0),($U$3*(1+$V$3)^3)),IF(M60&gt;0%,IF(M60&lt;50%,IF(M60&gt;0,(($U$3*(1+$V$3)^3)/2),0),($U$3*(1+$V$3)^3))))</f>
        <v>0</v>
      </c>
      <c r="N57" s="105" t="b">
        <f>IF(N59&gt;0%,IF(N59&lt;50%,IF(N59&gt;0,(($U$3*(1+$V$3)^4)/2),0),($U$3*(1+$V$3)^4)),IF(N60&gt;0%,IF(N60&lt;50%,IF(N60&gt;0,(($U$3*(1+$V$3)^4)/2),0),($U$3*(1+$V$3)^4))))</f>
        <v>0</v>
      </c>
      <c r="O57" s="49" t="s">
        <v>51</v>
      </c>
      <c r="P57" s="153"/>
      <c r="Q57" s="153"/>
      <c r="R57" s="12"/>
      <c r="S57" s="222"/>
      <c r="T57" s="12"/>
    </row>
    <row r="58" spans="1:22" outlineLevel="1" x14ac:dyDescent="0.25">
      <c r="A58" s="205" t="s">
        <v>85</v>
      </c>
      <c r="B58" s="55"/>
      <c r="C58" s="55"/>
      <c r="D58" s="56"/>
      <c r="E58" s="56"/>
      <c r="F58" s="56"/>
      <c r="G58" s="203"/>
      <c r="H58" s="210"/>
      <c r="I58" s="207" t="s">
        <v>128</v>
      </c>
      <c r="J58" s="5">
        <f>IF($U58="F",J59*12,SUM(J60*9,J61))</f>
        <v>0</v>
      </c>
      <c r="K58" s="5">
        <f>IF($U58="F",K59*12,SUM(K60*9,K61))</f>
        <v>0</v>
      </c>
      <c r="L58" s="5">
        <f>IF($U58="F",L59*12,SUM(L60*9,L61))</f>
        <v>0</v>
      </c>
      <c r="M58" s="5">
        <f>IF($U58="F",M59*12,SUM(M60*9,M61))</f>
        <v>0</v>
      </c>
      <c r="N58" s="5">
        <f>IF($U58="F",N59*12,SUM(N60*9,N61))</f>
        <v>0</v>
      </c>
      <c r="O58" s="49"/>
      <c r="P58" s="153" t="s">
        <v>126</v>
      </c>
      <c r="Q58" s="153" t="s">
        <v>127</v>
      </c>
      <c r="R58" s="12"/>
      <c r="S58" s="12"/>
      <c r="T58" s="215">
        <v>0</v>
      </c>
      <c r="U58" s="216"/>
    </row>
    <row r="59" spans="1:22" outlineLevel="1" x14ac:dyDescent="0.25">
      <c r="A59" s="209" t="str">
        <f>ROUND(P59*100, 2)&amp;"% Avg. Fiscal Effort, "&amp;ROUND(Q59, 2)&amp;" Avg. Calendar Months"</f>
        <v>0% Avg. Fiscal Effort, 0 Avg. Calendar Months</v>
      </c>
      <c r="B59" s="55">
        <f>O59*J59</f>
        <v>0</v>
      </c>
      <c r="C59" s="55">
        <f>IF($J$5&gt;1,IF($U$2&lt;&gt;0,IF(O59*(1+$O$5)&lt;=$U$2,O59*K59*(1+$O$5),$U$2*K59),O59*K59*(1+$O$5)),0)</f>
        <v>0</v>
      </c>
      <c r="D59" s="55">
        <f>IF($J$5&gt;2,IF($U$2&lt;&gt;0,IF(O59*(1+$O$5)^2&lt;=$U$2,O59*L59*(1+$O$5)^2,$U$2*L59),O59*L59*(1+$O$5)^2),0)</f>
        <v>0</v>
      </c>
      <c r="E59" s="55">
        <f>IF($J$5&gt;3,IF($U$2&lt;&gt;0,IF(O59*(1+$O$5)^3&lt;=$U$2,O59*M59*(1+$O$5)^3,$U$2*M59),O59*M59*(1+$O$5)^3),0)</f>
        <v>0</v>
      </c>
      <c r="F59" s="55">
        <f>IF($J$5&gt;4,IF($U$2&lt;&gt;0,IF(O59*(1+$O$5)^4&lt;=$U$2,O59*N59*(1+$O$5)^4,$U$2*N59),O59*N59*(1+$O$5)^4),0)</f>
        <v>0</v>
      </c>
      <c r="G59" s="203">
        <f>SUM(B59:F59)</f>
        <v>0</v>
      </c>
      <c r="H59" s="210"/>
      <c r="I59" s="207" t="s">
        <v>26</v>
      </c>
      <c r="J59" s="17">
        <v>0</v>
      </c>
      <c r="K59" s="17">
        <f>IF($J$5&gt;1,J59,0)</f>
        <v>0</v>
      </c>
      <c r="L59" s="17">
        <f>IF($J$5&gt;2,K59,0)</f>
        <v>0</v>
      </c>
      <c r="M59" s="17">
        <f>IF($J$5&gt;3,L59,0)</f>
        <v>0</v>
      </c>
      <c r="N59" s="17">
        <f>IF($J$5&gt;4,M59,0)</f>
        <v>0</v>
      </c>
      <c r="O59" s="145">
        <f>IF(U58="F",IF($U$2&lt;&gt;0,IF(T58&gt;$U$2,$U$2,T58),T58),0)</f>
        <v>0</v>
      </c>
      <c r="P59" s="157">
        <f>SUM(J58:N58)/(ROUNDUP($J$5,0)*12)</f>
        <v>0</v>
      </c>
      <c r="Q59" s="156">
        <f>(SUM(J58:N58)/(CEILING($J$5*12,12)))*12</f>
        <v>0</v>
      </c>
      <c r="R59" s="12"/>
      <c r="S59" s="12"/>
      <c r="T59" s="208"/>
      <c r="U59" s="94"/>
      <c r="V59" s="94"/>
    </row>
    <row r="60" spans="1:22" outlineLevel="1" x14ac:dyDescent="0.25">
      <c r="A60" s="495" t="str">
        <f>ROUND(P59*100,2)&amp;"% Annualized Effort, "&amp;ROUND(Q60,2)&amp;" Avg. Academic Months
"&amp;IF(SUM(J61:N61)&gt;0," and "&amp;Q61 &amp;" Avg. Summer Months", "")</f>
        <v xml:space="preserve">0% Annualized Effort, 0 Avg. Academic Months
</v>
      </c>
      <c r="B60" s="55">
        <f>J60*O60</f>
        <v>0</v>
      </c>
      <c r="C60" s="55">
        <f>IF($J$5&gt;1,IF($U$2&lt;&gt;0,IF(O60*(1+$O$5)&lt;=$U$2*0.75,O60*K60*(1+$O$5),$U$2*0.75*K60),O60*K60*(1+$O$5)),0)</f>
        <v>0</v>
      </c>
      <c r="D60" s="55">
        <f>IF($J$5&gt;2,IF($U$2&lt;&gt;0,IF(O60*(1+$O$5)^2&lt;=$U$2*0.75,O60*L60*(1+$O$5)^2,$U$2*0.75*L60),O60*L60*(1+$O$5)^2),0)</f>
        <v>0</v>
      </c>
      <c r="E60" s="55">
        <f>IF($J$5&gt;3,IF($U$2&lt;&gt;0,IF(O60*(1+$O$5)^3&lt;=$U$2*0.75,O60*M60*(1+$O$5)^3,$U$2*0.75*M60),O60*M60*(1+$O$5)^3),0)</f>
        <v>0</v>
      </c>
      <c r="F60" s="55">
        <f>IF($J$5&gt;4,IF($U$2&lt;&gt;0,IF(O60*(1+$O$5)^4&lt;=$U$2*0.75,O60*N60*(1+$O$5)^4,$U$2*0.75*N60),O60*N60*(1+$O$5)^4),0)</f>
        <v>0</v>
      </c>
      <c r="G60" s="203">
        <f>SUM(B60:F60)</f>
        <v>0</v>
      </c>
      <c r="H60" s="210"/>
      <c r="I60" s="207" t="s">
        <v>15</v>
      </c>
      <c r="J60" s="17">
        <v>0</v>
      </c>
      <c r="K60" s="17">
        <f>IF($J$5&gt;1,J60,0)</f>
        <v>0</v>
      </c>
      <c r="L60" s="17">
        <f>IF($J$5&gt;2,K60,0)</f>
        <v>0</v>
      </c>
      <c r="M60" s="17">
        <f>IF($J$5&gt;3,L60,0)</f>
        <v>0</v>
      </c>
      <c r="N60" s="17">
        <f>IF($J$5&gt;4,M60,0)</f>
        <v>0</v>
      </c>
      <c r="O60" s="145">
        <f>IF(U58="A",IF($U$2&lt;&gt;0,IF(T58&gt;($U$2/12*9),($U$2/12*9),T58),T58),0)</f>
        <v>0</v>
      </c>
      <c r="P60" s="211"/>
      <c r="Q60" s="156">
        <f>((SUM(J58:N58)-SUM(J61:N61))/(CEILING($J$5*9,9)))*9</f>
        <v>0</v>
      </c>
      <c r="R60" s="12"/>
      <c r="S60" s="12"/>
      <c r="T60" s="208"/>
      <c r="U60" s="94"/>
      <c r="V60" s="94"/>
    </row>
    <row r="61" spans="1:22" outlineLevel="1" x14ac:dyDescent="0.25">
      <c r="A61" s="495"/>
      <c r="B61" s="55">
        <f>J61/3*O61</f>
        <v>0</v>
      </c>
      <c r="C61" s="55">
        <f>IF($J$5&gt;1,IF($U$2&lt;&gt;0,IF(O61*(1+$O$5)&lt;=$U$2*0.25,O61*K61/3*(1+$O$5),$U$2*0.25*K61/3),O61*K61/3*(1+$O$5)),0)</f>
        <v>0</v>
      </c>
      <c r="D61" s="55">
        <f>IF($J$5&gt;2,IF($U$2&lt;&gt;0,IF(O61*(1+$O$5)^2&lt;=$U$2*0.25,O61*L61/3*(1+$O$5)^2,$U$2*0.25*L61/3),O61*L61/3*(1+$O$5)^2),0)</f>
        <v>0</v>
      </c>
      <c r="E61" s="55">
        <f>IF($J$5&gt;3,IF($U$2&lt;&gt;0,IF(O61*(1+$O$5)^3&lt;=$U$2*0.25,O61*M61/3*(1+$O$5)^3,$U$2*0.25*M61/3),O61*M61/3*(1+$O$5)^3),0)</f>
        <v>0</v>
      </c>
      <c r="F61" s="55">
        <f>IF($J$5&gt;4,IF($U$2&lt;&gt;0,IF(O61*(1+$O$5)^4&lt;=$U$2*0.25,O61*N61/3*(1+$O$5)^4,$U$2*0.25*N61/3),O61*N61/3*(1+$O$5)^4),0)</f>
        <v>0</v>
      </c>
      <c r="G61" s="203">
        <f>SUM(B61:F61)</f>
        <v>0</v>
      </c>
      <c r="H61" s="210"/>
      <c r="I61" s="220" t="s">
        <v>17</v>
      </c>
      <c r="J61" s="188">
        <v>0</v>
      </c>
      <c r="K61" s="188">
        <f>IF($J$5&gt;1,J61,0)</f>
        <v>0</v>
      </c>
      <c r="L61" s="188">
        <f>IF($J$5&gt;2,K61,0)</f>
        <v>0</v>
      </c>
      <c r="M61" s="188">
        <f>IF($J$5&gt;3,L61,0)</f>
        <v>0</v>
      </c>
      <c r="N61" s="188">
        <f>IF($J$5&gt;4,M61,0)</f>
        <v>0</v>
      </c>
      <c r="O61" s="167">
        <f>IF(U58="A",IF($U$2&lt;&gt;0,IF(T58/9*3&gt;($U$2/12*3),($U$2/12*3),T58/9*3),T58/9*3),0)</f>
        <v>0</v>
      </c>
      <c r="P61" s="157"/>
      <c r="Q61" s="157">
        <f>((SUM(J58:N58)-SUM(J60:N60)*9)/(CEILING($J$5*3,3)))*3</f>
        <v>0</v>
      </c>
      <c r="R61" s="12"/>
      <c r="S61" s="12"/>
      <c r="T61" s="12"/>
      <c r="U61" s="94"/>
      <c r="V61" s="217"/>
    </row>
    <row r="62" spans="1:22" outlineLevel="1" x14ac:dyDescent="0.25">
      <c r="B62" s="55"/>
      <c r="C62" s="55"/>
      <c r="D62" s="55"/>
      <c r="E62" s="55"/>
      <c r="F62" s="55"/>
      <c r="G62" s="203"/>
      <c r="H62" s="210"/>
      <c r="I62" s="197" t="s">
        <v>48</v>
      </c>
      <c r="J62" s="105" t="b">
        <f>IF(J64&gt;0%,IF(J64&lt;50%,IF(J64&gt;0,($U$3/2),0),$U$3),IF(J65&gt;0%,IF(J65&lt;50%,IF(J65&gt;0,($U$3/2),0),$U$3)))</f>
        <v>0</v>
      </c>
      <c r="K62" s="105" t="b">
        <f>IF(K64&gt;0%,IF(K64&lt;50%,IF(K64&gt;0,(($U$3*(1+$V$3))/2),0),($U$3*(1+$V$3))),IF(K65&gt;0%,IF(K65&lt;50%,IF(K65&gt;0,(($U$3*(1+$V$3))/2),0),($U$3*(1+$V$3)))))</f>
        <v>0</v>
      </c>
      <c r="L62" s="105" t="b">
        <f>IF(L64&gt;0%,IF(L64&lt;50%,IF(L64&gt;0,(($U$3*(1+$V$3)^2)/2),0),($U$3*(1+$V$3)^2)),IF(L65&gt;0%,IF(L65&lt;50%,IF(L65&gt;0,(($U$3*(1+$V$3)^2)/2),0),($U$3*(1+$V$3)^2))))</f>
        <v>0</v>
      </c>
      <c r="M62" s="105" t="b">
        <f>IF(M64&gt;0%,IF(M64&lt;50%,IF(M64&gt;0,(($U$3*(1+$V$3)^3)/2),0),($U$3*(1+$V$3)^3)),IF(M65&gt;0%,IF(M65&lt;50%,IF(M65&gt;0,(($U$3*(1+$V$3)^3)/2),0),($U$3*(1+$V$3)^3))))</f>
        <v>0</v>
      </c>
      <c r="N62" s="105" t="b">
        <f>IF(N64&gt;0%,IF(N64&lt;50%,IF(N64&gt;0,(($U$3*(1+$V$3)^4)/2),0),($U$3*(1+$V$3)^4)),IF(N65&gt;0%,IF(N65&lt;50%,IF(N65&gt;0,(($U$3*(1+$V$3)^4)/2),0),($U$3*(1+$V$3)^4))))</f>
        <v>0</v>
      </c>
      <c r="O62" s="49" t="s">
        <v>51</v>
      </c>
      <c r="P62" s="153"/>
      <c r="Q62" s="153"/>
      <c r="R62" s="12"/>
      <c r="S62" s="222"/>
      <c r="T62" s="12"/>
    </row>
    <row r="63" spans="1:22" outlineLevel="1" x14ac:dyDescent="0.25">
      <c r="A63" s="205" t="s">
        <v>85</v>
      </c>
      <c r="B63" s="55"/>
      <c r="C63" s="55"/>
      <c r="D63" s="55"/>
      <c r="E63" s="55"/>
      <c r="F63" s="55"/>
      <c r="G63" s="203"/>
      <c r="H63" s="210"/>
      <c r="I63" s="207" t="s">
        <v>128</v>
      </c>
      <c r="J63" s="5">
        <f>IF($U63="F",J64*12,SUM(J65*9,J66))</f>
        <v>0</v>
      </c>
      <c r="K63" s="5">
        <f>IF($U63="F",K64*12,SUM(K65*9,K66))</f>
        <v>0</v>
      </c>
      <c r="L63" s="5">
        <f>IF($U63="F",L64*12,SUM(L65*9,L66))</f>
        <v>0</v>
      </c>
      <c r="M63" s="5">
        <f>IF($U63="F",M64*12,SUM(M65*9,M66))</f>
        <v>0</v>
      </c>
      <c r="N63" s="5">
        <f>IF($U63="F",N64*12,SUM(N65*9,N66))</f>
        <v>0</v>
      </c>
      <c r="O63" s="49"/>
      <c r="P63" s="153" t="s">
        <v>126</v>
      </c>
      <c r="Q63" s="153" t="s">
        <v>127</v>
      </c>
      <c r="R63" s="12"/>
      <c r="S63" s="12"/>
      <c r="T63" s="215">
        <v>0</v>
      </c>
      <c r="U63" s="216"/>
    </row>
    <row r="64" spans="1:22" outlineLevel="1" x14ac:dyDescent="0.25">
      <c r="A64" s="209" t="str">
        <f>ROUND(P64*100, 2)&amp;"% Avg. Fiscal Effort, "&amp;ROUND(Q64, 2)&amp;" Avg. Calendar Months"</f>
        <v>0% Avg. Fiscal Effort, 0 Avg. Calendar Months</v>
      </c>
      <c r="B64" s="55">
        <f>O64*J64</f>
        <v>0</v>
      </c>
      <c r="C64" s="55">
        <f>IF($J$5&gt;1,IF($U$2&lt;&gt;0,IF(O64*(1+$O$5)&lt;=$U$2,O64*K64*(1+$O$5),$U$2*K64),O64*K64*(1+$O$5)),0)</f>
        <v>0</v>
      </c>
      <c r="D64" s="55">
        <f>IF($J$5&gt;2,IF($U$2&lt;&gt;0,IF(O64*(1+$O$5)^2&lt;=$U$2,O64*L64*(1+$O$5)^2,$U$2*L64),O64*L64*(1+$O$5)^2),0)</f>
        <v>0</v>
      </c>
      <c r="E64" s="55">
        <f>IF($J$5&gt;3,IF($U$2&lt;&gt;0,IF(O64*(1+$O$5)^3&lt;=$U$2,O64*M64*(1+$O$5)^3,$U$2*M64),O64*M64*(1+$O$5)^3),0)</f>
        <v>0</v>
      </c>
      <c r="F64" s="55">
        <f>IF($J$5&gt;4,IF($U$2&lt;&gt;0,IF(O64*(1+$O$5)^4&lt;=$U$2,O64*N64*(1+$O$5)^4,$U$2*N64),O64*N64*(1+$O$5)^4),0)</f>
        <v>0</v>
      </c>
      <c r="G64" s="203">
        <f>SUM(B64:F64)</f>
        <v>0</v>
      </c>
      <c r="H64" s="210"/>
      <c r="I64" s="207" t="s">
        <v>26</v>
      </c>
      <c r="J64" s="17">
        <v>0</v>
      </c>
      <c r="K64" s="17">
        <f>IF($J$5&gt;1,J64,0)</f>
        <v>0</v>
      </c>
      <c r="L64" s="17">
        <f>IF($J$5&gt;2,K64,0)</f>
        <v>0</v>
      </c>
      <c r="M64" s="17">
        <f>IF($J$5&gt;3,L64,0)</f>
        <v>0</v>
      </c>
      <c r="N64" s="17">
        <f>IF($J$5&gt;4,M64,0)</f>
        <v>0</v>
      </c>
      <c r="O64" s="145">
        <f>IF(U63="F",IF($U$2&lt;&gt;0,IF(T63&gt;$U$2,$U$2,T63),T63),0)</f>
        <v>0</v>
      </c>
      <c r="P64" s="157">
        <f>SUM(J63:N63)/(ROUNDUP($J$5,0)*12)</f>
        <v>0</v>
      </c>
      <c r="Q64" s="156">
        <f>(SUM(J63:N63)/(CEILING($J$5*12,12)))*12</f>
        <v>0</v>
      </c>
      <c r="R64" s="12"/>
      <c r="S64" s="12"/>
      <c r="T64" s="208"/>
      <c r="U64" s="94"/>
      <c r="V64" s="94"/>
    </row>
    <row r="65" spans="1:22" outlineLevel="1" x14ac:dyDescent="0.25">
      <c r="A65" s="495" t="str">
        <f>ROUND(P64*100,2)&amp;"% Annualized Effort, "&amp;ROUND(Q65,2)&amp;" Avg. Academic Months
"&amp;IF(SUM(J66:N66)&gt;0," and "&amp;Q66 &amp;" Avg. Summer Months", "")</f>
        <v xml:space="preserve">0% Annualized Effort, 0 Avg. Academic Months
</v>
      </c>
      <c r="B65" s="55">
        <f>J65*O65</f>
        <v>0</v>
      </c>
      <c r="C65" s="55">
        <f>IF($J$5&gt;1,IF($U$2&lt;&gt;0,IF(O65*(1+$O$5)&lt;=$U$2*0.75,O65*K65*(1+$O$5),$U$2*0.75*K65),O65*K65*(1+$O$5)),0)</f>
        <v>0</v>
      </c>
      <c r="D65" s="55">
        <f>IF($J$5&gt;2,IF($U$2&lt;&gt;0,IF(O65*(1+$O$5)^2&lt;=$U$2*0.75,O65*L65*(1+$O$5)^2,$U$2*0.75*L65),O65*L65*(1+$O$5)^2),0)</f>
        <v>0</v>
      </c>
      <c r="E65" s="55">
        <f>IF($J$5&gt;3,IF($U$2&lt;&gt;0,IF(O65*(1+$O$5)^3&lt;=$U$2*0.75,O65*M65*(1+$O$5)^3,$U$2*0.75*M65),O65*M65*(1+$O$5)^3),0)</f>
        <v>0</v>
      </c>
      <c r="F65" s="55">
        <f>IF($J$5&gt;4,IF($U$2&lt;&gt;0,IF(O65*(1+$O$5)^4&lt;=$U$2*0.75,O65*N65*(1+$O$5)^4,$U$2*0.75*N65),O65*N65*(1+$O$5)^4),0)</f>
        <v>0</v>
      </c>
      <c r="G65" s="203">
        <f>SUM(B65:F65)</f>
        <v>0</v>
      </c>
      <c r="H65" s="210"/>
      <c r="I65" s="207" t="s">
        <v>15</v>
      </c>
      <c r="J65" s="17">
        <v>0</v>
      </c>
      <c r="K65" s="17">
        <f>IF($J$5&gt;1,J65,0)</f>
        <v>0</v>
      </c>
      <c r="L65" s="17">
        <f>IF($J$5&gt;2,K65,0)</f>
        <v>0</v>
      </c>
      <c r="M65" s="17">
        <f>IF($J$5&gt;3,L65,0)</f>
        <v>0</v>
      </c>
      <c r="N65" s="17">
        <f>IF($J$5&gt;4,M65,0)</f>
        <v>0</v>
      </c>
      <c r="O65" s="145">
        <f>IF(U63="A",IF($U$2&lt;&gt;0,IF(T63&gt;($U$2/12*9),($U$2/12*9),T63),T63),0)</f>
        <v>0</v>
      </c>
      <c r="P65" s="211"/>
      <c r="Q65" s="156">
        <f>((SUM(J63:N63)-SUM(J66:N66))/(CEILING($J$5*9,9)))*9</f>
        <v>0</v>
      </c>
      <c r="R65" s="12"/>
      <c r="S65" s="12"/>
      <c r="T65" s="208"/>
      <c r="U65" s="94"/>
      <c r="V65" s="94"/>
    </row>
    <row r="66" spans="1:22" outlineLevel="1" x14ac:dyDescent="0.25">
      <c r="A66" s="495"/>
      <c r="B66" s="55">
        <f>J66/3*O66</f>
        <v>0</v>
      </c>
      <c r="C66" s="55">
        <f>IF($J$5&gt;1,IF($U$2&lt;&gt;0,IF(O66*(1+$O$5)&lt;=$U$2*0.25,O66*K66/3*(1+$O$5),$U$2*0.25*K66/3),O66*K66/3*(1+$O$5)),0)</f>
        <v>0</v>
      </c>
      <c r="D66" s="55">
        <f>IF($J$5&gt;2,IF($U$2&lt;&gt;0,IF(O66*(1+$O$5)^2&lt;=$U$2*0.25,O66*L66/3*(1+$O$5)^2,$U$2*0.25*L66/3),O66*L66/3*(1+$O$5)^2),0)</f>
        <v>0</v>
      </c>
      <c r="E66" s="55">
        <f>IF($J$5&gt;3,IF($U$2&lt;&gt;0,IF(O66*(1+$O$5)^3&lt;=$U$2*0.25,O66*M66/3*(1+$O$5)^3,$U$2*0.25*M66/3),O66*M66/3*(1+$O$5)^3),0)</f>
        <v>0</v>
      </c>
      <c r="F66" s="55">
        <f>IF($J$5&gt;4,IF($U$2&lt;&gt;0,IF(O66*(1+$O$5)^4&lt;=$U$2*0.25,O66*N66/3*(1+$O$5)^4,$U$2*0.25*N66/3),O66*N66/3*(1+$O$5)^4),0)</f>
        <v>0</v>
      </c>
      <c r="G66" s="203">
        <f>SUM(B66:F66)</f>
        <v>0</v>
      </c>
      <c r="H66" s="210"/>
      <c r="I66" s="207" t="s">
        <v>17</v>
      </c>
      <c r="J66" s="188">
        <v>0</v>
      </c>
      <c r="K66" s="188">
        <f>IF($J$5&gt;1,J66,0)</f>
        <v>0</v>
      </c>
      <c r="L66" s="188">
        <f>IF($J$5&gt;2,K66,0)</f>
        <v>0</v>
      </c>
      <c r="M66" s="188">
        <f>IF($J$5&gt;3,L66,0)</f>
        <v>0</v>
      </c>
      <c r="N66" s="188">
        <f>IF($J$5&gt;4,M66,0)</f>
        <v>0</v>
      </c>
      <c r="O66" s="167">
        <f>IF(U63="A",IF($U$2&lt;&gt;0,IF(T63/9*3&gt;($U$2/12*3),($U$2/12*3),T63/9*3),T63/9*3),0)</f>
        <v>0</v>
      </c>
      <c r="P66" s="157"/>
      <c r="Q66" s="157">
        <f>((SUM(J63:N63)-SUM(J65:N65)*9)/(CEILING($J$5*3,3)))*3</f>
        <v>0</v>
      </c>
      <c r="R66" s="12"/>
      <c r="S66" s="12"/>
      <c r="T66" s="12"/>
      <c r="U66" s="94"/>
      <c r="V66" s="217"/>
    </row>
    <row r="67" spans="1:22" outlineLevel="1" x14ac:dyDescent="0.25">
      <c r="A67" s="209"/>
      <c r="B67" s="55"/>
      <c r="C67" s="55"/>
      <c r="D67" s="56"/>
      <c r="E67" s="56"/>
      <c r="F67" s="56"/>
      <c r="G67" s="203"/>
      <c r="H67" s="210"/>
      <c r="I67" s="219"/>
      <c r="J67" s="5" t="s">
        <v>6</v>
      </c>
      <c r="K67" s="5" t="s">
        <v>5</v>
      </c>
      <c r="L67" s="5" t="s">
        <v>7</v>
      </c>
      <c r="M67" s="5" t="s">
        <v>8</v>
      </c>
      <c r="N67" s="5" t="s">
        <v>9</v>
      </c>
      <c r="O67" s="187" t="s">
        <v>50</v>
      </c>
      <c r="P67" s="157"/>
      <c r="Q67" s="157"/>
      <c r="R67" s="12"/>
      <c r="S67" s="12"/>
      <c r="T67" s="12"/>
    </row>
    <row r="68" spans="1:22" outlineLevel="1" x14ac:dyDescent="0.25">
      <c r="A68" s="205" t="str">
        <f>"TBN, Student Worker ("&amp;J68&amp;")"</f>
        <v>TBN, Student Worker (0)</v>
      </c>
      <c r="B68" s="55"/>
      <c r="C68" s="55"/>
      <c r="D68" s="56"/>
      <c r="E68" s="56"/>
      <c r="F68" s="56"/>
      <c r="G68" s="203"/>
      <c r="H68" s="210"/>
      <c r="I68" s="221" t="s">
        <v>49</v>
      </c>
      <c r="J68" s="25">
        <v>0</v>
      </c>
      <c r="K68" s="126"/>
      <c r="L68" s="126"/>
      <c r="M68" s="126"/>
      <c r="N68" s="126"/>
      <c r="O68" s="108">
        <v>0</v>
      </c>
      <c r="P68" s="157"/>
      <c r="Q68" s="157"/>
      <c r="R68" s="12"/>
      <c r="S68" s="12"/>
      <c r="T68" s="12"/>
    </row>
    <row r="69" spans="1:22" outlineLevel="1" x14ac:dyDescent="0.25">
      <c r="A69" s="209" t="str">
        <f>J69&amp;" hours per student @ $"&amp;O68&amp;"/hour"</f>
        <v xml:space="preserve"> hours per student @ $0/hour</v>
      </c>
      <c r="B69" s="55">
        <f>J68*J69*O68</f>
        <v>0</v>
      </c>
      <c r="C69" s="55">
        <f>IF($J$5&gt;1,$J$68*K69*$O$68*(1+$O$5),0)</f>
        <v>0</v>
      </c>
      <c r="D69" s="55">
        <f>IF($J$5&gt;2,$J$68*L69*$O$68*(1+$O$5)^2,0)</f>
        <v>0</v>
      </c>
      <c r="E69" s="55">
        <f>IF($J$5&gt;3,$J$68*M69*$O$68*(1+$O$5)^3,0)</f>
        <v>0</v>
      </c>
      <c r="F69" s="55">
        <f>IF($J$5&gt;4,$J$68*N69*$O$68*(1+$O$5)^4,0)</f>
        <v>0</v>
      </c>
      <c r="G69" s="203">
        <f>SUM(B69:F69)</f>
        <v>0</v>
      </c>
      <c r="H69" s="210"/>
      <c r="I69" s="223" t="s">
        <v>56</v>
      </c>
      <c r="J69" s="27"/>
      <c r="K69" s="188">
        <f>IF($J$5&gt;1,J69,0)</f>
        <v>0</v>
      </c>
      <c r="L69" s="27">
        <f>IF($J$5&gt;2,K69,0)</f>
        <v>0</v>
      </c>
      <c r="M69" s="27">
        <f>IF($J$5&gt;3,L69,0)</f>
        <v>0</v>
      </c>
      <c r="N69" s="27">
        <f>IF($J$5&gt;4,M69,0)</f>
        <v>0</v>
      </c>
      <c r="O69" s="22"/>
      <c r="P69" s="157"/>
      <c r="Q69" s="157"/>
      <c r="R69" s="12"/>
      <c r="S69" s="12"/>
      <c r="T69" s="12"/>
    </row>
    <row r="70" spans="1:22" outlineLevel="1" x14ac:dyDescent="0.25">
      <c r="A70" s="209"/>
      <c r="B70" s="55"/>
      <c r="C70" s="55"/>
      <c r="D70" s="55"/>
      <c r="E70" s="55"/>
      <c r="F70" s="55"/>
      <c r="G70" s="203"/>
      <c r="H70" s="210"/>
      <c r="I70" s="221"/>
      <c r="J70" s="126"/>
      <c r="K70" s="126"/>
      <c r="L70" s="126"/>
      <c r="M70" s="126"/>
      <c r="N70" s="126"/>
      <c r="O70" s="51" t="s">
        <v>50</v>
      </c>
      <c r="P70" s="157"/>
      <c r="Q70" s="157"/>
      <c r="R70" s="12"/>
      <c r="S70" s="12"/>
      <c r="T70" s="12"/>
    </row>
    <row r="71" spans="1:22" outlineLevel="1" x14ac:dyDescent="0.25">
      <c r="A71" s="205" t="str">
        <f>"TBN, Student Worker ("&amp;J71&amp;")"</f>
        <v>TBN, Student Worker (0)</v>
      </c>
      <c r="B71" s="55"/>
      <c r="C71" s="55"/>
      <c r="D71" s="56"/>
      <c r="E71" s="56"/>
      <c r="F71" s="56"/>
      <c r="G71" s="203"/>
      <c r="H71" s="210"/>
      <c r="I71" s="221" t="s">
        <v>49</v>
      </c>
      <c r="J71" s="25">
        <v>0</v>
      </c>
      <c r="K71" s="126"/>
      <c r="L71" s="126"/>
      <c r="M71" s="126"/>
      <c r="N71" s="126"/>
      <c r="O71" s="108">
        <v>0</v>
      </c>
      <c r="P71" s="157"/>
      <c r="Q71" s="157"/>
      <c r="R71" s="12"/>
      <c r="S71" s="12"/>
      <c r="T71" s="12"/>
    </row>
    <row r="72" spans="1:22" outlineLevel="1" x14ac:dyDescent="0.25">
      <c r="A72" s="209" t="str">
        <f>J72&amp;" hours per student @ $"&amp;O71&amp;"/hour"</f>
        <v xml:space="preserve"> hours per student @ $0/hour</v>
      </c>
      <c r="B72" s="55">
        <f>J71*J72*O71</f>
        <v>0</v>
      </c>
      <c r="C72" s="55">
        <f>IF($J$5&gt;1,$J$71*K72*$O$71*(1+$O$5),0)</f>
        <v>0</v>
      </c>
      <c r="D72" s="55">
        <f>IF($J$5&gt;2,$J$71*L72*$O$71*(1+$O$5)^2,0)</f>
        <v>0</v>
      </c>
      <c r="E72" s="55">
        <f>IF($J$5&gt;3,$J$71*M72*$O$71*(1+$O$5)^3,0)</f>
        <v>0</v>
      </c>
      <c r="F72" s="55">
        <f>IF($J$5&gt;4,$J$71*N72*$O$71*(1+$O$5)^4,0)</f>
        <v>0</v>
      </c>
      <c r="G72" s="203">
        <f>SUM(B72:F72)</f>
        <v>0</v>
      </c>
      <c r="H72" s="210"/>
      <c r="I72" s="223" t="s">
        <v>56</v>
      </c>
      <c r="J72" s="27"/>
      <c r="K72" s="188">
        <f>IF($J$5&gt;1,J72,0)</f>
        <v>0</v>
      </c>
      <c r="L72" s="27">
        <f>IF($J$5&gt;2,K72,0)</f>
        <v>0</v>
      </c>
      <c r="M72" s="27">
        <f>IF($J$5&gt;3,L72,0)</f>
        <v>0</v>
      </c>
      <c r="N72" s="27">
        <f>IF($J$5&gt;4,M72,0)</f>
        <v>0</v>
      </c>
      <c r="O72" s="22"/>
      <c r="P72" s="157"/>
      <c r="Q72" s="157"/>
      <c r="R72" s="12"/>
      <c r="S72" s="12"/>
      <c r="T72" s="12"/>
    </row>
    <row r="73" spans="1:22" outlineLevel="1" x14ac:dyDescent="0.25">
      <c r="A73" s="209"/>
      <c r="B73" s="55"/>
      <c r="C73" s="55"/>
      <c r="D73" s="55"/>
      <c r="E73" s="55"/>
      <c r="F73" s="55"/>
      <c r="G73" s="203"/>
      <c r="H73" s="210"/>
      <c r="I73" s="221"/>
      <c r="J73" s="126"/>
      <c r="K73" s="126"/>
      <c r="L73" s="126"/>
      <c r="M73" s="126"/>
      <c r="N73" s="126"/>
      <c r="O73" s="51" t="s">
        <v>50</v>
      </c>
      <c r="P73" s="157"/>
      <c r="Q73" s="157"/>
      <c r="R73" s="12"/>
      <c r="S73" s="12"/>
      <c r="T73" s="12"/>
    </row>
    <row r="74" spans="1:22" outlineLevel="1" x14ac:dyDescent="0.25">
      <c r="A74" s="205" t="str">
        <f>"TBN, Student Worker ("&amp;J74&amp;")"</f>
        <v>TBN, Student Worker (0)</v>
      </c>
      <c r="B74" s="55"/>
      <c r="C74" s="55"/>
      <c r="D74" s="56"/>
      <c r="E74" s="56"/>
      <c r="F74" s="56"/>
      <c r="G74" s="203"/>
      <c r="H74" s="210"/>
      <c r="I74" s="221" t="s">
        <v>49</v>
      </c>
      <c r="J74" s="25">
        <v>0</v>
      </c>
      <c r="K74" s="126"/>
      <c r="L74" s="126"/>
      <c r="M74" s="126"/>
      <c r="N74" s="126"/>
      <c r="O74" s="108">
        <v>0</v>
      </c>
      <c r="P74" s="157"/>
      <c r="Q74" s="157"/>
      <c r="R74" s="12"/>
      <c r="S74" s="12"/>
      <c r="T74" s="12"/>
    </row>
    <row r="75" spans="1:22" outlineLevel="1" x14ac:dyDescent="0.25">
      <c r="A75" s="209" t="str">
        <f>J75&amp;" hours per student @ $"&amp;O74&amp;"/hour"</f>
        <v xml:space="preserve"> hours per student @ $0/hour</v>
      </c>
      <c r="B75" s="55">
        <f>J74*J75*O74</f>
        <v>0</v>
      </c>
      <c r="C75" s="55">
        <f>IF($J$5&gt;1,$J$74*K75*$O$74*(1+$O$5),0)</f>
        <v>0</v>
      </c>
      <c r="D75" s="55">
        <f>IF($J$5&gt;2,$J$74*L75*$O$74*(1+$O$5)^2,0)</f>
        <v>0</v>
      </c>
      <c r="E75" s="55">
        <f>IF($J$5&gt;3,$J$74*M75*$O$74*(1+$O$5)^3,0)</f>
        <v>0</v>
      </c>
      <c r="F75" s="55">
        <f>IF($J$5&gt;4,$J$74*N75*$O$74*(1+$O$5)^4,0)</f>
        <v>0</v>
      </c>
      <c r="G75" s="203">
        <f>SUM(B75:F75)</f>
        <v>0</v>
      </c>
      <c r="H75" s="210"/>
      <c r="I75" s="223" t="s">
        <v>56</v>
      </c>
      <c r="J75" s="27"/>
      <c r="K75" s="188">
        <f>IF($J$5&gt;1,J75,0)</f>
        <v>0</v>
      </c>
      <c r="L75" s="27">
        <f>IF($J$5&gt;2,K75,0)</f>
        <v>0</v>
      </c>
      <c r="M75" s="27">
        <f>IF($J$5&gt;3,L75,0)</f>
        <v>0</v>
      </c>
      <c r="N75" s="27">
        <f>IF($J$5&gt;4,M75,0)</f>
        <v>0</v>
      </c>
      <c r="O75" s="22"/>
      <c r="P75" s="157"/>
      <c r="Q75" s="157"/>
      <c r="R75" s="12"/>
      <c r="S75" s="12"/>
      <c r="T75" s="12"/>
    </row>
    <row r="76" spans="1:22" outlineLevel="1" x14ac:dyDescent="0.25">
      <c r="A76" s="224" t="s">
        <v>0</v>
      </c>
      <c r="B76" s="61">
        <f>ROUND(SUM(B8:B75),0)</f>
        <v>0</v>
      </c>
      <c r="C76" s="61">
        <f>ROUND(SUM(C8:C75),0)</f>
        <v>0</v>
      </c>
      <c r="D76" s="61">
        <f>ROUND(SUM(D8:D75),0)</f>
        <v>0</v>
      </c>
      <c r="E76" s="61">
        <f>ROUND(SUM(E8:E75),0)</f>
        <v>0</v>
      </c>
      <c r="F76" s="61">
        <f>ROUND(SUM(F8:F75),0)</f>
        <v>0</v>
      </c>
      <c r="G76" s="61">
        <f>SUM(B76:F76)</f>
        <v>0</v>
      </c>
      <c r="H76" s="28"/>
      <c r="R76" s="12"/>
      <c r="S76" s="12"/>
      <c r="T76" s="12"/>
      <c r="V76" s="94"/>
    </row>
    <row r="77" spans="1:22" outlineLevel="1" x14ac:dyDescent="0.25">
      <c r="B77" s="60"/>
      <c r="C77" s="60"/>
      <c r="D77" s="56"/>
      <c r="E77" s="56"/>
      <c r="F77" s="56"/>
      <c r="G77" s="203"/>
      <c r="R77" s="12"/>
      <c r="S77" s="12"/>
      <c r="T77" s="12"/>
      <c r="V77" s="94"/>
    </row>
    <row r="78" spans="1:22" outlineLevel="1" x14ac:dyDescent="0.25">
      <c r="A78" s="195" t="s">
        <v>4</v>
      </c>
      <c r="B78" s="60"/>
      <c r="C78" s="60"/>
      <c r="D78" s="56"/>
      <c r="E78" s="56"/>
      <c r="F78" s="56"/>
      <c r="G78" s="203"/>
      <c r="R78" s="12"/>
      <c r="S78" s="12"/>
      <c r="T78" s="12"/>
      <c r="V78" s="94"/>
    </row>
    <row r="79" spans="1:22" outlineLevel="1" x14ac:dyDescent="0.25">
      <c r="A79" s="104" t="str">
        <f>I79&amp;ROUND(J79*100,2)&amp;"%"</f>
        <v>Employees @ 0%</v>
      </c>
      <c r="B79" s="121">
        <f>SUM(B8:B40)*$J$79</f>
        <v>0</v>
      </c>
      <c r="C79" s="121">
        <f>SUM(C8:C40)*$J$79</f>
        <v>0</v>
      </c>
      <c r="D79" s="121">
        <f>SUM(D8:D40)*$J$79</f>
        <v>0</v>
      </c>
      <c r="E79" s="121">
        <f>SUM(E8:E40)*$J$79</f>
        <v>0</v>
      </c>
      <c r="F79" s="121">
        <f>SUM(F8:F40)*$J$79</f>
        <v>0</v>
      </c>
      <c r="G79" s="62">
        <f>SUM(B79:F79)</f>
        <v>0</v>
      </c>
      <c r="H79" s="190"/>
      <c r="I79" s="226" t="s">
        <v>146</v>
      </c>
      <c r="J79" s="227">
        <v>0</v>
      </c>
      <c r="K79" s="228"/>
      <c r="L79" s="228"/>
      <c r="M79" s="228"/>
      <c r="N79" s="228"/>
      <c r="R79" s="12"/>
      <c r="S79" s="12"/>
      <c r="T79" s="12"/>
      <c r="V79" s="94"/>
    </row>
    <row r="80" spans="1:22" outlineLevel="1" x14ac:dyDescent="0.25">
      <c r="A80" s="104" t="str">
        <f>I80&amp;ROUND(J80*100,2)&amp;"%"</f>
        <v>Post-docs @ 0%</v>
      </c>
      <c r="B80" s="121">
        <f>SUM(B45:B51)*$J$80</f>
        <v>0</v>
      </c>
      <c r="C80" s="121">
        <f>SUM(C45:C51)*$J$80</f>
        <v>0</v>
      </c>
      <c r="D80" s="121">
        <f>SUM(D45:D51)*$J$80</f>
        <v>0</v>
      </c>
      <c r="E80" s="121">
        <f>SUM(E45:E51)*$J$80</f>
        <v>0</v>
      </c>
      <c r="F80" s="121">
        <f>SUM(F45:F51)*$J$80</f>
        <v>0</v>
      </c>
      <c r="G80" s="62">
        <f>SUM(B80:F80)</f>
        <v>0</v>
      </c>
      <c r="H80" s="190"/>
      <c r="I80" s="226" t="s">
        <v>147</v>
      </c>
      <c r="J80" s="227">
        <v>0</v>
      </c>
      <c r="K80" s="228"/>
      <c r="L80" s="228"/>
      <c r="M80" s="228"/>
      <c r="N80" s="228"/>
      <c r="R80" s="12"/>
      <c r="S80" s="12"/>
      <c r="T80" s="12"/>
      <c r="V80" s="94"/>
    </row>
    <row r="81" spans="1:22" outlineLevel="1" x14ac:dyDescent="0.25">
      <c r="A81" s="104" t="str">
        <f>I81&amp;ROUND(J81*100,2)&amp;"%"</f>
        <v>Graduate Assistants @ 0%</v>
      </c>
      <c r="B81" s="121">
        <f>SUM(B54:B66)*$J$81</f>
        <v>0</v>
      </c>
      <c r="C81" s="121">
        <f>SUM(C54:C66)*$J$81</f>
        <v>0</v>
      </c>
      <c r="D81" s="121">
        <f>SUM(D54:D66)*$J$81</f>
        <v>0</v>
      </c>
      <c r="E81" s="121">
        <f>SUM(E54:E66)*$J$81</f>
        <v>0</v>
      </c>
      <c r="F81" s="121">
        <f>SUM(F54:F66)*$J$81</f>
        <v>0</v>
      </c>
      <c r="G81" s="62">
        <f>SUM(B81:F81)</f>
        <v>0</v>
      </c>
      <c r="H81" s="190"/>
      <c r="I81" s="226" t="s">
        <v>144</v>
      </c>
      <c r="J81" s="227">
        <v>0</v>
      </c>
      <c r="K81" s="228"/>
      <c r="L81" s="228"/>
      <c r="M81" s="228"/>
      <c r="N81" s="228"/>
      <c r="R81" s="12"/>
      <c r="S81" s="12"/>
      <c r="T81" s="12"/>
      <c r="V81" s="94"/>
    </row>
    <row r="82" spans="1:22" outlineLevel="1" x14ac:dyDescent="0.25">
      <c r="A82" s="104" t="str">
        <f>I82&amp;ROUND(J82*100,2)&amp;"%"</f>
        <v>Student Workers @0%</v>
      </c>
      <c r="B82" s="121">
        <f>SUM(B69:B75)*$J$82</f>
        <v>0</v>
      </c>
      <c r="C82" s="121">
        <f>SUM(C69:C75)*$J$82</f>
        <v>0</v>
      </c>
      <c r="D82" s="121">
        <f>SUM(D69:D75)*$J$82</f>
        <v>0</v>
      </c>
      <c r="E82" s="121">
        <f>SUM(E69:E75)*$J$82</f>
        <v>0</v>
      </c>
      <c r="F82" s="121">
        <f>SUM(F69:F75)*$J$82</f>
        <v>0</v>
      </c>
      <c r="G82" s="62">
        <f>SUM(B82:F82)</f>
        <v>0</v>
      </c>
      <c r="H82" s="190"/>
      <c r="I82" s="226" t="s">
        <v>140</v>
      </c>
      <c r="J82" s="227">
        <v>0</v>
      </c>
      <c r="K82" s="228"/>
      <c r="L82" s="228"/>
      <c r="M82" s="228"/>
      <c r="N82" s="228"/>
      <c r="R82" s="12"/>
      <c r="S82" s="12"/>
      <c r="T82" s="12"/>
      <c r="V82" s="94"/>
    </row>
    <row r="83" spans="1:22" outlineLevel="1" x14ac:dyDescent="0.25">
      <c r="A83" s="224" t="s">
        <v>1</v>
      </c>
      <c r="B83" s="63">
        <f>ROUND(SUM(B79:B82),0)</f>
        <v>0</v>
      </c>
      <c r="C83" s="63">
        <f>ROUND(SUM(C79:C82),0)</f>
        <v>0</v>
      </c>
      <c r="D83" s="63">
        <f>ROUND(SUM(D79:D82),0)</f>
        <v>0</v>
      </c>
      <c r="E83" s="63">
        <f>ROUND(SUM(E79:E82),0)</f>
        <v>0</v>
      </c>
      <c r="F83" s="63">
        <f>ROUND(SUM(F79:F82),0)</f>
        <v>0</v>
      </c>
      <c r="G83" s="229">
        <f>SUM(B83:F83)</f>
        <v>0</v>
      </c>
      <c r="H83" s="190"/>
      <c r="R83" s="12"/>
      <c r="S83" s="12"/>
      <c r="T83" s="12"/>
      <c r="V83" s="94"/>
    </row>
    <row r="84" spans="1:22" outlineLevel="1" x14ac:dyDescent="0.25">
      <c r="B84" s="56"/>
      <c r="C84" s="56"/>
      <c r="D84" s="56"/>
      <c r="E84" s="56"/>
      <c r="F84" s="56"/>
      <c r="G84" s="203"/>
      <c r="R84" s="12"/>
      <c r="S84" s="12"/>
      <c r="T84" s="12"/>
      <c r="V84" s="94"/>
    </row>
    <row r="85" spans="1:22" outlineLevel="1" x14ac:dyDescent="0.25">
      <c r="A85" s="230" t="s">
        <v>95</v>
      </c>
      <c r="B85" s="65">
        <f>B76+B83</f>
        <v>0</v>
      </c>
      <c r="C85" s="65">
        <f>C76+C83</f>
        <v>0</v>
      </c>
      <c r="D85" s="65">
        <f>D76+D83</f>
        <v>0</v>
      </c>
      <c r="E85" s="65">
        <f>E76+E83</f>
        <v>0</v>
      </c>
      <c r="F85" s="65">
        <f>F76+F83</f>
        <v>0</v>
      </c>
      <c r="G85" s="231">
        <f>SUM(B85:F85)</f>
        <v>0</v>
      </c>
      <c r="H85" s="190"/>
      <c r="R85" s="12"/>
      <c r="S85" s="12"/>
      <c r="T85" s="12"/>
      <c r="V85" s="94"/>
    </row>
    <row r="86" spans="1:22" outlineLevel="1" x14ac:dyDescent="0.25">
      <c r="A86" s="189"/>
      <c r="B86" s="67"/>
      <c r="C86" s="67"/>
      <c r="D86" s="67"/>
      <c r="E86" s="67"/>
      <c r="F86" s="67"/>
      <c r="G86" s="68"/>
      <c r="H86" s="29"/>
      <c r="R86" s="12"/>
      <c r="S86" s="12"/>
      <c r="T86" s="12"/>
      <c r="V86" s="94"/>
    </row>
    <row r="87" spans="1:22" outlineLevel="1" x14ac:dyDescent="0.25">
      <c r="A87" s="232" t="s">
        <v>39</v>
      </c>
      <c r="B87" s="56"/>
      <c r="C87" s="56"/>
      <c r="D87" s="56"/>
      <c r="E87" s="56"/>
      <c r="F87" s="56"/>
      <c r="G87" s="203"/>
      <c r="R87" s="12"/>
      <c r="S87" s="12"/>
      <c r="T87" s="12"/>
      <c r="V87" s="94"/>
    </row>
    <row r="88" spans="1:22" outlineLevel="1" x14ac:dyDescent="0.25">
      <c r="A88" s="233" t="s">
        <v>41</v>
      </c>
      <c r="B88" s="69">
        <v>0</v>
      </c>
      <c r="C88" s="69">
        <v>0</v>
      </c>
      <c r="D88" s="69">
        <v>0</v>
      </c>
      <c r="E88" s="69">
        <v>0</v>
      </c>
      <c r="F88" s="69">
        <v>0</v>
      </c>
      <c r="G88" s="203">
        <f>SUM(B88:F88)</f>
        <v>0</v>
      </c>
      <c r="H88" s="210"/>
      <c r="R88" s="12"/>
      <c r="S88" s="12"/>
      <c r="T88" s="12"/>
      <c r="V88" s="94"/>
    </row>
    <row r="89" spans="1:22" outlineLevel="1" x14ac:dyDescent="0.25">
      <c r="A89" s="233" t="s">
        <v>42</v>
      </c>
      <c r="B89" s="69">
        <v>0</v>
      </c>
      <c r="C89" s="69">
        <v>0</v>
      </c>
      <c r="D89" s="69">
        <v>0</v>
      </c>
      <c r="E89" s="69">
        <v>0</v>
      </c>
      <c r="F89" s="69">
        <v>0</v>
      </c>
      <c r="G89" s="203">
        <f>SUM(B89:F89)</f>
        <v>0</v>
      </c>
      <c r="H89" s="210"/>
      <c r="R89" s="12"/>
      <c r="S89" s="12"/>
      <c r="T89" s="12"/>
      <c r="V89" s="94"/>
    </row>
    <row r="90" spans="1:22" outlineLevel="1" x14ac:dyDescent="0.25">
      <c r="A90" s="233" t="s">
        <v>43</v>
      </c>
      <c r="B90" s="69">
        <v>0</v>
      </c>
      <c r="C90" s="69">
        <v>0</v>
      </c>
      <c r="D90" s="69">
        <v>0</v>
      </c>
      <c r="E90" s="69">
        <v>0</v>
      </c>
      <c r="F90" s="69">
        <v>0</v>
      </c>
      <c r="G90" s="203">
        <f>SUM(B90:F90)</f>
        <v>0</v>
      </c>
      <c r="H90" s="210"/>
      <c r="R90" s="12"/>
      <c r="S90" s="12"/>
      <c r="T90" s="12"/>
      <c r="V90" s="94"/>
    </row>
    <row r="91" spans="1:22" outlineLevel="1" x14ac:dyDescent="0.25">
      <c r="A91" s="224" t="s">
        <v>40</v>
      </c>
      <c r="B91" s="61">
        <f>ROUND(SUM(B88:B90),0)</f>
        <v>0</v>
      </c>
      <c r="C91" s="61">
        <f>ROUND(SUM(C88:C90),0)</f>
        <v>0</v>
      </c>
      <c r="D91" s="61">
        <f>ROUND(SUM(D88:D90),0)</f>
        <v>0</v>
      </c>
      <c r="E91" s="61">
        <f>ROUND(SUM(E88:E90),0)</f>
        <v>0</v>
      </c>
      <c r="F91" s="61">
        <f>ROUND(SUM(F88:F90),0)</f>
        <v>0</v>
      </c>
      <c r="G91" s="61">
        <f>SUM(B91:F91)</f>
        <v>0</v>
      </c>
      <c r="H91" s="28"/>
      <c r="R91" s="12"/>
      <c r="S91" s="12"/>
      <c r="T91" s="12"/>
      <c r="V91" s="94"/>
    </row>
    <row r="92" spans="1:22" outlineLevel="1" x14ac:dyDescent="0.25">
      <c r="B92" s="60"/>
      <c r="C92" s="60"/>
      <c r="D92" s="56"/>
      <c r="E92" s="56"/>
      <c r="F92" s="56"/>
      <c r="G92" s="203"/>
      <c r="R92" s="12"/>
      <c r="S92" s="12"/>
      <c r="T92" s="12"/>
      <c r="V92" s="94"/>
    </row>
    <row r="93" spans="1:22" outlineLevel="1" x14ac:dyDescent="0.25">
      <c r="A93" s="195" t="s">
        <v>11</v>
      </c>
      <c r="B93" s="68"/>
      <c r="C93" s="68"/>
      <c r="D93" s="68"/>
      <c r="E93" s="68"/>
      <c r="F93" s="68"/>
      <c r="G93" s="68"/>
      <c r="H93" s="29"/>
      <c r="R93" s="12"/>
      <c r="S93" s="12"/>
      <c r="T93" s="12"/>
      <c r="V93" s="94"/>
    </row>
    <row r="94" spans="1:22" outlineLevel="1" x14ac:dyDescent="0.25">
      <c r="A94" s="209" t="s">
        <v>98</v>
      </c>
      <c r="B94" s="165">
        <v>0</v>
      </c>
      <c r="C94" s="165">
        <v>0</v>
      </c>
      <c r="D94" s="165">
        <v>0</v>
      </c>
      <c r="E94" s="165">
        <v>0</v>
      </c>
      <c r="F94" s="165">
        <v>0</v>
      </c>
      <c r="G94" s="68">
        <f>SUM(B94:F94)</f>
        <v>0</v>
      </c>
      <c r="H94" s="29"/>
      <c r="R94" s="12"/>
      <c r="S94" s="12"/>
      <c r="T94" s="12"/>
      <c r="V94" s="94"/>
    </row>
    <row r="95" spans="1:22" outlineLevel="1" x14ac:dyDescent="0.25">
      <c r="A95" s="209" t="s">
        <v>99</v>
      </c>
      <c r="B95" s="165">
        <v>0</v>
      </c>
      <c r="C95" s="165">
        <v>0</v>
      </c>
      <c r="D95" s="165">
        <v>0</v>
      </c>
      <c r="E95" s="165">
        <v>0</v>
      </c>
      <c r="F95" s="165">
        <v>0</v>
      </c>
      <c r="G95" s="68">
        <f>SUM(B95:F95)</f>
        <v>0</v>
      </c>
      <c r="H95" s="29"/>
      <c r="R95" s="12"/>
      <c r="S95" s="12"/>
      <c r="T95" s="12"/>
      <c r="V95" s="94"/>
    </row>
    <row r="96" spans="1:22" outlineLevel="1" x14ac:dyDescent="0.25">
      <c r="A96" s="224" t="s">
        <v>12</v>
      </c>
      <c r="B96" s="71">
        <f>ROUND(SUM(B94:B95),0)</f>
        <v>0</v>
      </c>
      <c r="C96" s="71">
        <f>ROUND(SUM(C94:C95),0)</f>
        <v>0</v>
      </c>
      <c r="D96" s="71">
        <f>ROUND(SUM(D94:D95),0)</f>
        <v>0</v>
      </c>
      <c r="E96" s="71">
        <f>ROUND(SUM(E94:E95),0)</f>
        <v>0</v>
      </c>
      <c r="F96" s="71">
        <f>ROUND(SUM(F94:F95),0)</f>
        <v>0</v>
      </c>
      <c r="G96" s="61">
        <f>SUM(B96:F96)</f>
        <v>0</v>
      </c>
      <c r="H96" s="28"/>
      <c r="R96" s="12"/>
      <c r="S96" s="12"/>
      <c r="T96" s="12"/>
      <c r="V96" s="94"/>
    </row>
    <row r="97" spans="1:22" outlineLevel="1" x14ac:dyDescent="0.25">
      <c r="B97" s="56"/>
      <c r="C97" s="56"/>
      <c r="D97" s="56"/>
      <c r="E97" s="56"/>
      <c r="F97" s="56"/>
      <c r="G97" s="203"/>
      <c r="R97" s="12"/>
      <c r="S97" s="12"/>
      <c r="T97" s="12"/>
      <c r="V97" s="94"/>
    </row>
    <row r="98" spans="1:22" outlineLevel="1" x14ac:dyDescent="0.25">
      <c r="A98" s="189" t="s">
        <v>44</v>
      </c>
      <c r="B98" s="56"/>
      <c r="C98" s="56"/>
      <c r="D98" s="56"/>
      <c r="E98" s="56"/>
      <c r="F98" s="56"/>
      <c r="G98" s="203"/>
      <c r="R98" s="12"/>
      <c r="S98" s="12"/>
      <c r="T98" s="12"/>
      <c r="V98" s="94"/>
    </row>
    <row r="99" spans="1:22" outlineLevel="1" x14ac:dyDescent="0.25">
      <c r="A99" s="234" t="s">
        <v>44</v>
      </c>
      <c r="B99" s="74">
        <v>0</v>
      </c>
      <c r="C99" s="74">
        <v>0</v>
      </c>
      <c r="D99" s="74">
        <v>0</v>
      </c>
      <c r="E99" s="74">
        <v>0</v>
      </c>
      <c r="F99" s="74">
        <v>0</v>
      </c>
      <c r="G99" s="225">
        <f>SUM(B99:F99)</f>
        <v>0</v>
      </c>
      <c r="R99" s="12"/>
      <c r="S99" s="12"/>
      <c r="T99" s="12"/>
      <c r="V99" s="94"/>
    </row>
    <row r="100" spans="1:22" x14ac:dyDescent="0.25">
      <c r="A100" s="224" t="s">
        <v>155</v>
      </c>
      <c r="B100" s="71">
        <f>ROUND(SUM(B99),0)</f>
        <v>0</v>
      </c>
      <c r="C100" s="71">
        <f>ROUND(SUM(C99),0)</f>
        <v>0</v>
      </c>
      <c r="D100" s="71">
        <f>ROUND(SUM(D99),0)</f>
        <v>0</v>
      </c>
      <c r="E100" s="71">
        <f>ROUND(SUM(E99),0)</f>
        <v>0</v>
      </c>
      <c r="F100" s="71">
        <f>ROUND(SUM(F99),0)</f>
        <v>0</v>
      </c>
      <c r="G100" s="61">
        <f>SUM(B100:F100)</f>
        <v>0</v>
      </c>
      <c r="H100" s="28"/>
      <c r="P100" s="157"/>
      <c r="Q100" s="157"/>
      <c r="R100" s="12"/>
      <c r="S100" s="12"/>
      <c r="T100" s="12"/>
    </row>
    <row r="101" spans="1:22" outlineLevel="1" x14ac:dyDescent="0.25">
      <c r="B101" s="56"/>
      <c r="C101" s="56"/>
      <c r="D101" s="56"/>
      <c r="E101" s="56"/>
      <c r="F101" s="56"/>
      <c r="G101" s="203"/>
      <c r="R101" s="12"/>
      <c r="S101" s="12"/>
      <c r="T101" s="12"/>
      <c r="V101" s="94"/>
    </row>
    <row r="102" spans="1:22" x14ac:dyDescent="0.25">
      <c r="A102" s="235" t="s">
        <v>33</v>
      </c>
      <c r="B102" s="67"/>
      <c r="C102" s="67"/>
      <c r="D102" s="56"/>
      <c r="E102" s="56"/>
      <c r="F102" s="56"/>
      <c r="G102" s="203"/>
      <c r="R102" s="12"/>
      <c r="S102" s="12"/>
      <c r="T102" s="12"/>
      <c r="V102" s="94"/>
    </row>
    <row r="103" spans="1:22" x14ac:dyDescent="0.25">
      <c r="A103" s="234" t="s">
        <v>31</v>
      </c>
      <c r="B103" s="74">
        <f>SUM(J52,J57,J62)</f>
        <v>0</v>
      </c>
      <c r="C103" s="74">
        <f>SUM(K52,K57,K62)</f>
        <v>0</v>
      </c>
      <c r="D103" s="74">
        <f>SUM(L52,L57,L62)</f>
        <v>0</v>
      </c>
      <c r="E103" s="74">
        <f>SUM(M52,M57,M62)</f>
        <v>0</v>
      </c>
      <c r="F103" s="74">
        <f>SUM(N52,N57,N62)</f>
        <v>0</v>
      </c>
      <c r="G103" s="225">
        <f>SUM(B103:F103)</f>
        <v>0</v>
      </c>
      <c r="R103" s="12"/>
      <c r="S103" s="12"/>
      <c r="T103" s="12"/>
      <c r="V103" s="94"/>
    </row>
    <row r="104" spans="1:22" x14ac:dyDescent="0.25">
      <c r="A104" s="234" t="s">
        <v>97</v>
      </c>
      <c r="B104" s="164">
        <v>0</v>
      </c>
      <c r="C104" s="164">
        <v>0</v>
      </c>
      <c r="D104" s="164">
        <v>0</v>
      </c>
      <c r="E104" s="164">
        <v>0</v>
      </c>
      <c r="F104" s="164">
        <v>0</v>
      </c>
      <c r="G104" s="225">
        <f>SUM(B104:F104)</f>
        <v>0</v>
      </c>
      <c r="H104" s="190"/>
      <c r="R104" s="12"/>
      <c r="S104" s="12"/>
      <c r="T104" s="12"/>
      <c r="V104" s="94"/>
    </row>
    <row r="105" spans="1:22" outlineLevel="1" x14ac:dyDescent="0.25">
      <c r="A105" s="234"/>
      <c r="B105" s="73"/>
      <c r="C105" s="73"/>
      <c r="D105" s="73"/>
      <c r="E105" s="73"/>
      <c r="F105" s="73"/>
      <c r="G105" s="225"/>
      <c r="R105" s="12"/>
      <c r="S105" s="12"/>
      <c r="T105" s="12"/>
      <c r="V105" s="94"/>
    </row>
    <row r="106" spans="1:22" outlineLevel="1" x14ac:dyDescent="0.25">
      <c r="A106" s="236" t="s">
        <v>88</v>
      </c>
      <c r="B106" s="69">
        <v>0</v>
      </c>
      <c r="C106" s="69">
        <v>0</v>
      </c>
      <c r="D106" s="69">
        <v>0</v>
      </c>
      <c r="E106" s="69">
        <v>0</v>
      </c>
      <c r="F106" s="69">
        <v>0</v>
      </c>
      <c r="G106" s="203">
        <f t="shared" ref="G106:G112" si="0">SUM(B106:F106)</f>
        <v>0</v>
      </c>
      <c r="H106" s="210"/>
      <c r="R106" s="12"/>
      <c r="S106" s="12"/>
      <c r="T106" s="12"/>
      <c r="V106" s="94"/>
    </row>
    <row r="107" spans="1:22" outlineLevel="1" x14ac:dyDescent="0.25">
      <c r="A107" s="236" t="s">
        <v>89</v>
      </c>
      <c r="B107" s="69">
        <v>0</v>
      </c>
      <c r="C107" s="69">
        <v>0</v>
      </c>
      <c r="D107" s="69">
        <v>0</v>
      </c>
      <c r="E107" s="69">
        <v>0</v>
      </c>
      <c r="F107" s="69">
        <v>0</v>
      </c>
      <c r="G107" s="203">
        <f t="shared" si="0"/>
        <v>0</v>
      </c>
      <c r="H107" s="210"/>
      <c r="R107" s="12"/>
      <c r="S107" s="12"/>
      <c r="T107" s="12"/>
      <c r="V107" s="94"/>
    </row>
    <row r="108" spans="1:22" x14ac:dyDescent="0.25">
      <c r="A108" s="236" t="s">
        <v>90</v>
      </c>
      <c r="B108" s="69">
        <v>0</v>
      </c>
      <c r="C108" s="69">
        <v>0</v>
      </c>
      <c r="D108" s="69">
        <v>0</v>
      </c>
      <c r="E108" s="69">
        <v>0</v>
      </c>
      <c r="F108" s="69">
        <v>0</v>
      </c>
      <c r="G108" s="203">
        <f t="shared" si="0"/>
        <v>0</v>
      </c>
      <c r="H108" s="210"/>
      <c r="R108" s="12"/>
      <c r="S108" s="12"/>
      <c r="T108" s="12"/>
      <c r="V108" s="94"/>
    </row>
    <row r="109" spans="1:22" x14ac:dyDescent="0.25">
      <c r="A109" s="236" t="s">
        <v>91</v>
      </c>
      <c r="B109" s="69">
        <v>0</v>
      </c>
      <c r="C109" s="69">
        <v>0</v>
      </c>
      <c r="D109" s="69">
        <v>0</v>
      </c>
      <c r="E109" s="69">
        <v>0</v>
      </c>
      <c r="F109" s="69">
        <v>0</v>
      </c>
      <c r="G109" s="203">
        <f t="shared" si="0"/>
        <v>0</v>
      </c>
      <c r="H109" s="210"/>
      <c r="R109" s="12"/>
      <c r="S109" s="12"/>
      <c r="T109" s="12"/>
      <c r="V109" s="94"/>
    </row>
    <row r="110" spans="1:22" x14ac:dyDescent="0.25">
      <c r="A110" s="236" t="s">
        <v>102</v>
      </c>
      <c r="B110" s="69">
        <v>0</v>
      </c>
      <c r="C110" s="69">
        <v>0</v>
      </c>
      <c r="D110" s="69">
        <v>0</v>
      </c>
      <c r="E110" s="69">
        <v>0</v>
      </c>
      <c r="F110" s="69">
        <v>0</v>
      </c>
      <c r="G110" s="203">
        <f t="shared" si="0"/>
        <v>0</v>
      </c>
      <c r="H110" s="210"/>
      <c r="R110" s="12"/>
      <c r="S110" s="12"/>
      <c r="T110" s="12"/>
      <c r="V110" s="94"/>
    </row>
    <row r="111" spans="1:22" outlineLevel="1" x14ac:dyDescent="0.25">
      <c r="A111" s="237" t="s">
        <v>103</v>
      </c>
      <c r="B111" s="69">
        <v>0</v>
      </c>
      <c r="C111" s="69">
        <v>0</v>
      </c>
      <c r="D111" s="69">
        <v>0</v>
      </c>
      <c r="E111" s="69">
        <v>0</v>
      </c>
      <c r="F111" s="69">
        <v>0</v>
      </c>
      <c r="G111" s="203">
        <f t="shared" si="0"/>
        <v>0</v>
      </c>
      <c r="H111" s="210"/>
      <c r="R111" s="12"/>
      <c r="S111" s="12"/>
      <c r="T111" s="12"/>
      <c r="V111" s="94"/>
    </row>
    <row r="112" spans="1:22" outlineLevel="1" x14ac:dyDescent="0.25">
      <c r="A112" s="238" t="s">
        <v>87</v>
      </c>
      <c r="B112" s="58">
        <f>SUM(B106:B111)</f>
        <v>0</v>
      </c>
      <c r="C112" s="58">
        <f>SUM(C106:C111)</f>
        <v>0</v>
      </c>
      <c r="D112" s="58">
        <f>SUM(D106:D111)</f>
        <v>0</v>
      </c>
      <c r="E112" s="58">
        <f>SUM(E106:E111)</f>
        <v>0</v>
      </c>
      <c r="F112" s="58">
        <f>SUM(F106:F111)</f>
        <v>0</v>
      </c>
      <c r="G112" s="239">
        <f t="shared" si="0"/>
        <v>0</v>
      </c>
      <c r="H112" s="28"/>
      <c r="R112" s="12"/>
      <c r="S112" s="12"/>
      <c r="T112" s="12"/>
      <c r="V112" s="94"/>
    </row>
    <row r="113" spans="1:22" x14ac:dyDescent="0.25">
      <c r="A113" s="240"/>
      <c r="B113" s="75"/>
      <c r="C113" s="75"/>
      <c r="D113" s="75"/>
      <c r="E113" s="75"/>
      <c r="F113" s="75"/>
      <c r="G113" s="75"/>
      <c r="H113" s="28"/>
      <c r="R113" s="12"/>
      <c r="S113" s="12"/>
      <c r="T113" s="12"/>
      <c r="V113" s="94"/>
    </row>
    <row r="114" spans="1:22" x14ac:dyDescent="0.25">
      <c r="A114" s="241" t="s">
        <v>38</v>
      </c>
      <c r="B114" s="71">
        <f>ROUND(SUM(B103:B104,B112),0)</f>
        <v>0</v>
      </c>
      <c r="C114" s="71">
        <f>ROUND(SUM(C103:C104,C112),0)</f>
        <v>0</v>
      </c>
      <c r="D114" s="71">
        <f>ROUND(SUM(D103:D104,D112),0)</f>
        <v>0</v>
      </c>
      <c r="E114" s="71">
        <f>ROUND(SUM(E103:E104,E112),0)</f>
        <v>0</v>
      </c>
      <c r="F114" s="71">
        <f>ROUND(SUM(F103:F104,F112),0)</f>
        <v>0</v>
      </c>
      <c r="G114" s="61">
        <f>SUM(B114:F114)</f>
        <v>0</v>
      </c>
      <c r="H114" s="28"/>
      <c r="R114" s="12"/>
      <c r="S114" s="12"/>
      <c r="T114" s="12"/>
      <c r="V114" s="94"/>
    </row>
    <row r="115" spans="1:22" x14ac:dyDescent="0.25">
      <c r="A115" s="242"/>
      <c r="B115" s="76"/>
      <c r="C115" s="76"/>
      <c r="D115" s="77"/>
      <c r="E115" s="77"/>
      <c r="F115" s="77"/>
      <c r="G115" s="225"/>
      <c r="R115" s="12"/>
      <c r="S115" s="12"/>
      <c r="T115" s="12"/>
      <c r="V115" s="94"/>
    </row>
    <row r="116" spans="1:22" outlineLevel="1" x14ac:dyDescent="0.25">
      <c r="A116" s="243" t="s">
        <v>92</v>
      </c>
      <c r="B116" s="110">
        <f>B118-B107-B109-B111</f>
        <v>0</v>
      </c>
      <c r="C116" s="110">
        <f>C118-C107-C109-C111</f>
        <v>0</v>
      </c>
      <c r="D116" s="110">
        <f>D118-D107-D109-D111</f>
        <v>0</v>
      </c>
      <c r="E116" s="110">
        <f>E118-E107-E109-E111</f>
        <v>0</v>
      </c>
      <c r="F116" s="110">
        <f>F118-F107-F109-F111</f>
        <v>0</v>
      </c>
      <c r="G116" s="111">
        <f>SUM(B116:F116)</f>
        <v>0</v>
      </c>
      <c r="R116" s="12"/>
      <c r="S116" s="12"/>
      <c r="T116" s="12"/>
      <c r="V116" s="94"/>
    </row>
    <row r="117" spans="1:22" outlineLevel="1" x14ac:dyDescent="0.25">
      <c r="A117" s="242"/>
      <c r="B117" s="76"/>
      <c r="C117" s="76"/>
      <c r="D117" s="77"/>
      <c r="E117" s="77"/>
      <c r="F117" s="77"/>
      <c r="G117" s="225"/>
      <c r="R117" s="12"/>
      <c r="S117" s="12"/>
      <c r="T117" s="12"/>
      <c r="V117" s="94"/>
    </row>
    <row r="118" spans="1:22" outlineLevel="1" x14ac:dyDescent="0.25">
      <c r="A118" s="235" t="s">
        <v>2</v>
      </c>
      <c r="B118" s="78">
        <f>SUM(B85,B91,B96,B100,B114)</f>
        <v>0</v>
      </c>
      <c r="C118" s="78">
        <f>SUM(C85,C91,C96,C100,C114)</f>
        <v>0</v>
      </c>
      <c r="D118" s="78">
        <f>SUM(D85,D91,D96,D100,D114)</f>
        <v>0</v>
      </c>
      <c r="E118" s="78">
        <f>SUM(E85,E91,E96,E100,E114)</f>
        <v>0</v>
      </c>
      <c r="F118" s="78">
        <f>SUM(F85,F91,F96,F100,F114)</f>
        <v>0</v>
      </c>
      <c r="G118" s="225">
        <f t="shared" ref="G118:G123" si="1">SUM(B118:F118)</f>
        <v>0</v>
      </c>
      <c r="H118" s="190"/>
      <c r="R118" s="12"/>
      <c r="S118" s="12"/>
      <c r="T118" s="12"/>
      <c r="V118" s="94"/>
    </row>
    <row r="119" spans="1:22" outlineLevel="1" x14ac:dyDescent="0.25">
      <c r="A119" s="234" t="s">
        <v>45</v>
      </c>
      <c r="B119" s="93">
        <f>-B91</f>
        <v>0</v>
      </c>
      <c r="C119" s="93">
        <f>-C91</f>
        <v>0</v>
      </c>
      <c r="D119" s="93">
        <f>-D91</f>
        <v>0</v>
      </c>
      <c r="E119" s="93">
        <f>-E91</f>
        <v>0</v>
      </c>
      <c r="F119" s="93">
        <f>-F91</f>
        <v>0</v>
      </c>
      <c r="G119" s="225">
        <f t="shared" si="1"/>
        <v>0</v>
      </c>
      <c r="H119" s="190"/>
      <c r="R119" s="12"/>
      <c r="S119" s="12"/>
      <c r="T119" s="12"/>
      <c r="V119" s="94"/>
    </row>
    <row r="120" spans="1:22" outlineLevel="1" x14ac:dyDescent="0.25">
      <c r="A120" s="244" t="s">
        <v>32</v>
      </c>
      <c r="B120" s="93">
        <f>-B103</f>
        <v>0</v>
      </c>
      <c r="C120" s="93">
        <f>-C103</f>
        <v>0</v>
      </c>
      <c r="D120" s="93">
        <f>-D103</f>
        <v>0</v>
      </c>
      <c r="E120" s="78">
        <f>-E103</f>
        <v>0</v>
      </c>
      <c r="F120" s="78">
        <f>-F103</f>
        <v>0</v>
      </c>
      <c r="G120" s="225">
        <f t="shared" si="1"/>
        <v>0</v>
      </c>
      <c r="H120" s="190"/>
      <c r="R120" s="12"/>
      <c r="S120" s="12"/>
      <c r="T120" s="12"/>
      <c r="V120" s="94"/>
    </row>
    <row r="121" spans="1:22" outlineLevel="1" x14ac:dyDescent="0.25">
      <c r="A121" s="244" t="s">
        <v>47</v>
      </c>
      <c r="B121" s="109">
        <f>-B100</f>
        <v>0</v>
      </c>
      <c r="C121" s="109">
        <f>-C100</f>
        <v>0</v>
      </c>
      <c r="D121" s="109">
        <f>-D100</f>
        <v>0</v>
      </c>
      <c r="E121" s="109">
        <f>-E100</f>
        <v>0</v>
      </c>
      <c r="F121" s="109">
        <f>-F100</f>
        <v>0</v>
      </c>
      <c r="G121" s="225">
        <f t="shared" si="1"/>
        <v>0</v>
      </c>
      <c r="H121" s="190"/>
      <c r="R121" s="12"/>
      <c r="S121" s="12"/>
      <c r="T121" s="12"/>
      <c r="V121" s="94"/>
    </row>
    <row r="122" spans="1:22" outlineLevel="1" x14ac:dyDescent="0.25">
      <c r="A122" s="244" t="s">
        <v>46</v>
      </c>
      <c r="B122" s="79">
        <v>0</v>
      </c>
      <c r="C122" s="79">
        <v>0</v>
      </c>
      <c r="D122" s="79">
        <v>0</v>
      </c>
      <c r="E122" s="79">
        <v>0</v>
      </c>
      <c r="F122" s="79">
        <v>0</v>
      </c>
      <c r="G122" s="203">
        <f t="shared" si="1"/>
        <v>0</v>
      </c>
      <c r="H122" s="190"/>
      <c r="R122" s="12"/>
      <c r="S122" s="12"/>
      <c r="T122" s="12"/>
      <c r="V122" s="94"/>
    </row>
    <row r="123" spans="1:22" x14ac:dyDescent="0.25">
      <c r="A123" s="224" t="s">
        <v>13</v>
      </c>
      <c r="B123" s="61">
        <f>ROUND(SUM(B118:B122),0)</f>
        <v>0</v>
      </c>
      <c r="C123" s="61">
        <f>ROUND(SUM(C118:C122),0)</f>
        <v>0</v>
      </c>
      <c r="D123" s="61">
        <f>ROUND(SUM(D118:D122),0)</f>
        <v>0</v>
      </c>
      <c r="E123" s="61">
        <f>ROUND(SUM(E118:E122),0)</f>
        <v>0</v>
      </c>
      <c r="F123" s="61">
        <f>ROUND(SUM(F118:F122),0)</f>
        <v>0</v>
      </c>
      <c r="G123" s="239">
        <f t="shared" si="1"/>
        <v>0</v>
      </c>
      <c r="H123" s="190"/>
      <c r="P123" s="193" t="s">
        <v>130</v>
      </c>
      <c r="Q123" s="193" t="s">
        <v>129</v>
      </c>
      <c r="R123" s="12"/>
      <c r="S123" s="12"/>
      <c r="T123" s="12"/>
      <c r="V123" s="94"/>
    </row>
    <row r="124" spans="1:22" x14ac:dyDescent="0.25">
      <c r="A124" s="245"/>
      <c r="B124" s="80"/>
      <c r="C124" s="80"/>
      <c r="D124" s="56"/>
      <c r="E124" s="56"/>
      <c r="F124" s="56"/>
      <c r="G124" s="203"/>
      <c r="P124" s="246"/>
      <c r="Q124" s="157" t="s">
        <v>120</v>
      </c>
      <c r="R124" s="12"/>
      <c r="S124" s="12"/>
      <c r="T124" s="12"/>
      <c r="V124" s="94"/>
    </row>
    <row r="125" spans="1:22" x14ac:dyDescent="0.25">
      <c r="A125" s="195" t="s">
        <v>30</v>
      </c>
      <c r="B125" s="80"/>
      <c r="C125" s="80"/>
      <c r="D125" s="56"/>
      <c r="E125" s="56"/>
      <c r="F125" s="56"/>
      <c r="G125" s="203"/>
      <c r="I125" s="193" t="s">
        <v>119</v>
      </c>
      <c r="J125" s="247" t="s">
        <v>121</v>
      </c>
      <c r="P125" s="157"/>
      <c r="Q125" s="157" t="s">
        <v>131</v>
      </c>
      <c r="R125" s="12"/>
      <c r="S125" s="12"/>
      <c r="T125" s="12"/>
      <c r="V125" s="94"/>
    </row>
    <row r="126" spans="1:22" x14ac:dyDescent="0.25">
      <c r="A126" s="244" t="str">
        <f>IF(J126="TC","F&amp;A Costs @ "&amp;ROUND(I126/(1-I126),4)*100&amp;"% TDC or " &amp;I126*100&amp;"% TC", "F&amp;A Costs @ "&amp;I126*100&amp;"% "&amp;J126)</f>
        <v>F&amp;A Costs @ 0% MTDC</v>
      </c>
      <c r="B126" s="56">
        <f>IF($J$126="MTDC",(B123*$I$126),IF($J$126="TDC",(B118*$I$126),IF($J$126="TC",(B118*($I$126/(1-$I$126))))))</f>
        <v>0</v>
      </c>
      <c r="C126" s="56">
        <f>IF($J$126="MTDC",(C123*$I$126),IF($J$126="TDC",(C118*$I$126),IF($J$126="TC",(C118*($I$126/(1-$I$126))))))</f>
        <v>0</v>
      </c>
      <c r="D126" s="56">
        <f>IF($J$126="MTDC",(D123*$I$126),IF($J$126="TDC",(D118*$I$126),IF($J$126="TC",(D118*($I$126/(1-$I$126))))))</f>
        <v>0</v>
      </c>
      <c r="E126" s="56">
        <f>IF($J$126="MTDC",(E123*$I$126),IF($J$126="TDC",(E118*$I$126),IF($J$126="TC",(E118*($I$126/(1-$I$126))))))</f>
        <v>0</v>
      </c>
      <c r="F126" s="56">
        <f>IF($J$126="MTDC",(F123*$I$126),IF($J$126="TDC",(F118*$I$126),IF($J$126="TC",(F118*($I$126/(1-$I$126))))))</f>
        <v>0</v>
      </c>
      <c r="G126" s="203">
        <f>SUM(B126:F126)</f>
        <v>0</v>
      </c>
      <c r="H126" s="190"/>
      <c r="I126" s="227">
        <v>0</v>
      </c>
      <c r="J126" s="226" t="s">
        <v>120</v>
      </c>
      <c r="P126" s="157"/>
      <c r="Q126" s="157" t="s">
        <v>132</v>
      </c>
      <c r="R126" s="12"/>
      <c r="S126" s="12"/>
      <c r="T126" s="12"/>
      <c r="V126" s="94"/>
    </row>
    <row r="127" spans="1:22" x14ac:dyDescent="0.25">
      <c r="A127" s="224" t="s">
        <v>53</v>
      </c>
      <c r="B127" s="61">
        <f>ROUND(SUM(B126:B126),0)</f>
        <v>0</v>
      </c>
      <c r="C127" s="61">
        <f>ROUND(SUM(C126:C126),0)</f>
        <v>0</v>
      </c>
      <c r="D127" s="61">
        <f>ROUND(SUM(D126:D126),0)</f>
        <v>0</v>
      </c>
      <c r="E127" s="61">
        <f>ROUND(SUM(E126:E126),0)</f>
        <v>0</v>
      </c>
      <c r="F127" s="61">
        <f>ROUND(SUM(F126:F126),0)</f>
        <v>0</v>
      </c>
      <c r="G127" s="239">
        <f>SUM(B127:F127)</f>
        <v>0</v>
      </c>
      <c r="H127" s="190"/>
      <c r="R127" s="12"/>
      <c r="S127" s="12"/>
      <c r="T127" s="12"/>
      <c r="V127" s="94"/>
    </row>
    <row r="128" spans="1:22" x14ac:dyDescent="0.25">
      <c r="A128" s="209"/>
      <c r="B128" s="56"/>
      <c r="C128" s="56"/>
      <c r="D128" s="56"/>
      <c r="E128" s="56"/>
      <c r="F128" s="56"/>
      <c r="G128" s="203"/>
      <c r="I128" s="248"/>
      <c r="R128" s="12"/>
      <c r="S128" s="12"/>
      <c r="T128" s="12"/>
      <c r="V128" s="94"/>
    </row>
    <row r="129" spans="1:22" x14ac:dyDescent="0.25">
      <c r="A129" s="230" t="s">
        <v>96</v>
      </c>
      <c r="B129" s="66">
        <f>B118+B127</f>
        <v>0</v>
      </c>
      <c r="C129" s="66">
        <f>C118+C127</f>
        <v>0</v>
      </c>
      <c r="D129" s="66">
        <f>D118+D127</f>
        <v>0</v>
      </c>
      <c r="E129" s="66">
        <f>E118+E127</f>
        <v>0</v>
      </c>
      <c r="F129" s="66">
        <f>F118+F127</f>
        <v>0</v>
      </c>
      <c r="G129" s="231">
        <f>SUM(B129:F129)</f>
        <v>0</v>
      </c>
      <c r="H129" s="190"/>
      <c r="R129" s="12"/>
      <c r="S129" s="12"/>
      <c r="T129" s="12"/>
      <c r="V129" s="94"/>
    </row>
    <row r="130" spans="1:22" ht="16.5" thickBot="1" x14ac:dyDescent="0.3">
      <c r="R130" s="12"/>
      <c r="S130" s="12"/>
      <c r="T130" s="12"/>
      <c r="V130" s="94"/>
    </row>
    <row r="131" spans="1:22" ht="45" customHeight="1" thickBot="1" x14ac:dyDescent="0.3">
      <c r="A131" s="492" t="s">
        <v>57</v>
      </c>
      <c r="B131" s="493"/>
      <c r="C131" s="493"/>
      <c r="D131" s="493"/>
      <c r="E131" s="493"/>
      <c r="F131" s="493"/>
      <c r="G131" s="494"/>
    </row>
    <row r="134" spans="1:22" x14ac:dyDescent="0.25">
      <c r="A134" s="249"/>
    </row>
  </sheetData>
  <sheetProtection formatCells="0" formatColumns="0" formatRows="0" insertRows="0" deleteColumns="0" deleteRows="0" selectLockedCells="1" sort="0"/>
  <mergeCells count="13">
    <mergeCell ref="A21:A22"/>
    <mergeCell ref="I1:O1"/>
    <mergeCell ref="A2:G2"/>
    <mergeCell ref="A4:G4"/>
    <mergeCell ref="A9:A10"/>
    <mergeCell ref="A15:A16"/>
    <mergeCell ref="A131:G131"/>
    <mergeCell ref="A27:A28"/>
    <mergeCell ref="A33:A34"/>
    <mergeCell ref="A39:A40"/>
    <mergeCell ref="A55:A56"/>
    <mergeCell ref="A60:A61"/>
    <mergeCell ref="A65:A66"/>
  </mergeCells>
  <dataValidations count="2">
    <dataValidation type="list" allowBlank="1" showInputMessage="1" showErrorMessage="1" sqref="U11 U17 U23 U29 U35 U41 U63 U58 U53" xr:uid="{00000000-0002-0000-0A00-000000000000}">
      <formula1>$R$3:$R$4</formula1>
    </dataValidation>
    <dataValidation type="list" allowBlank="1" showInputMessage="1" showErrorMessage="1" sqref="J126" xr:uid="{00000000-0002-0000-0A00-000001000000}">
      <formula1>$Q$124:$Q$126</formula1>
    </dataValidation>
  </dataValidations>
  <printOptions horizontalCentered="1"/>
  <pageMargins left="0.5" right="0.5" top="0.5" bottom="0.5" header="0.25" footer="0.25"/>
  <pageSetup scale="3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Budget</vt:lpstr>
      <vt:lpstr>Travel</vt:lpstr>
      <vt:lpstr>Participant Support</vt:lpstr>
      <vt:lpstr>Other Costs</vt:lpstr>
      <vt:lpstr>Cost Share</vt:lpstr>
      <vt:lpstr>Subaward 1</vt:lpstr>
      <vt:lpstr>Subaward 2</vt:lpstr>
      <vt:lpstr>Subaward 3</vt:lpstr>
      <vt:lpstr>Subaward 4</vt:lpstr>
      <vt:lpstr>Subaward 5</vt:lpstr>
      <vt:lpstr>Budget!Print_Area</vt:lpstr>
      <vt:lpstr>'Subaward 1'!Print_Area</vt:lpstr>
      <vt:lpstr>'Subaward 2'!Print_Area</vt:lpstr>
      <vt:lpstr>'Subaward 3'!Print_Area</vt:lpstr>
      <vt:lpstr>'Subaward 4'!Print_Area</vt:lpstr>
      <vt:lpstr>'Subaward 5'!Print_Area</vt:lpstr>
    </vt:vector>
  </TitlesOfParts>
  <Company>University of Arizona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Ann M. Schultz;Engineering Research Administration Services;UAHS Research Administration</dc:creator>
  <cp:lastModifiedBy>Armstrong, Sean C - (sarmstro)</cp:lastModifiedBy>
  <cp:lastPrinted>2016-09-13T15:47:25Z</cp:lastPrinted>
  <dcterms:created xsi:type="dcterms:W3CDTF">2005-05-18T15:40:21Z</dcterms:created>
  <dcterms:modified xsi:type="dcterms:W3CDTF">2024-09-11T15:44:40Z</dcterms:modified>
</cp:coreProperties>
</file>